
<file path=[Content_Types].xml><?xml version="1.0" encoding="utf-8"?>
<Types xmlns="http://schemas.openxmlformats.org/package/2006/content-types">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Default Extension="jpeg" ContentType="image/jpeg"/>
  <Override PartName="/xl/charts/chart2.xml" ContentType="application/vnd.openxmlformats-officedocument.drawingml.chart+xml"/>
  <Default Extension="emf" ContentType="image/x-emf"/>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ml.chartshapes+xml"/>
  <Override PartName="/xl/charts/style4.xml" ContentType="application/vnd.ms-office.chartstyle+xml"/>
  <Override PartName="/xl/charts/style5.xml" ContentType="application/vnd.ms-office.chartsty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4.xml" ContentType="application/vnd.openxmlformats-officedocument.spreadsheetml.comments+xml"/>
  <Override PartName="/xl/charts/style2.xml" ContentType="application/vnd.ms-office.chartstyle+xml"/>
  <Override PartName="/xl/charts/style3.xml" ContentType="application/vnd.ms-office.chartstyle+xml"/>
  <Override PartName="/xl/charts/style1.xml" ContentType="application/vnd.ms-office.chartsty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colors4.xml" ContentType="application/vnd.ms-office.chartcolorstyle+xml"/>
  <Override PartName="/xl/charts/colors5.xml" ContentType="application/vnd.ms-office.chartcolorstyle+xml"/>
  <Override PartName="/xl/sharedStrings.xml" ContentType="application/vnd.openxmlformats-officedocument.spreadsheetml.sharedStrings+xml"/>
  <Override PartName="/xl/charts/colors2.xml" ContentType="application/vnd.ms-office.chartcolorstyle+xml"/>
  <Override PartName="/xl/charts/colors3.xml" ContentType="application/vnd.ms-office.chartcolorstyle+xml"/>
  <Override PartName="/xl/charts/colors1.xml" ContentType="application/vnd.ms-office.chartcolorstyle+xml"/>
  <Override PartName="/docProps/core.xml" ContentType="application/vnd.openxmlformats-package.core-properties+xml"/>
  <Default Extension="bin" ContentType="application/vnd.openxmlformats-officedocument.spreadsheetml.printerSettings"/>
  <Default Extension="png" ContentType="image/png"/>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10" yWindow="-110" windowWidth="19420" windowHeight="11020" activeTab="1"/>
  </bookViews>
  <sheets>
    <sheet name="Instructions" sheetId="11" r:id="rId1"/>
    <sheet name="Cow-calf" sheetId="10" r:id="rId2"/>
    <sheet name="Feedlot" sheetId="8" r:id="rId3"/>
    <sheet name="Label" sheetId="7" r:id="rId4"/>
    <sheet name="ValueOfGain" sheetId="12" r:id="rId5"/>
    <sheet name="Box" sheetId="13" state="hidden" r:id="rId6"/>
  </sheets>
  <definedNames>
    <definedName name="Box">Box!$B$4</definedName>
    <definedName name="None">Box!$D$4</definedName>
    <definedName name="Picture">INDIRECT('Cow-calf'!$N$2)</definedName>
    <definedName name="Picture2">INDIRECT(Feedlot!$H$2)</definedName>
    <definedName name="_xlnm.Print_Area" localSheetId="1">'Cow-calf'!$B$2:$J$36</definedName>
    <definedName name="_xlnm.Print_Area" localSheetId="2">Feedlot!$B$2:$G$48</definedName>
    <definedName name="_xlnm.Print_Area" localSheetId="3">Label!$B$2:$M$51</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FALSE</definedName>
    <definedName name="RiskUpdateStatFunctions">TRUE</definedName>
    <definedName name="RiskUseDifferentSeedForEachSim">FALSE</definedName>
    <definedName name="RiskUseFixedSeed">FALSE</definedName>
    <definedName name="RiskUseMultipleCPUs">FALSE</definedName>
    <definedName name="solver_adj" localSheetId="2" hidden="1">Feedlot!$D$106</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0</definedName>
    <definedName name="solver_nwt" localSheetId="2" hidden="1">1</definedName>
    <definedName name="solver_opt" localSheetId="2" hidden="1">Feedlot!#REF!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2</definedName>
    <definedName name="solver_val" localSheetId="2" hidden="1">0</definedName>
    <definedName name="solver_ver" localSheetId="2" hidden="1">3</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 i="8"/>
  <c r="N2" i="10"/>
  <c r="J33" i="8" l="1"/>
  <c r="J14"/>
  <c r="N24" l="1"/>
  <c r="M24" s="1"/>
  <c r="L24" s="1"/>
  <c r="K24" s="1"/>
  <c r="N5"/>
  <c r="M5" s="1"/>
  <c r="L5" s="1"/>
  <c r="K5" s="1"/>
  <c r="I22"/>
  <c r="I3"/>
  <c r="J28"/>
  <c r="J31" s="1"/>
  <c r="J9"/>
  <c r="J12" s="1"/>
  <c r="P9" i="10"/>
  <c r="P12" s="1"/>
  <c r="T5"/>
  <c r="S5" s="1"/>
  <c r="R5" s="1"/>
  <c r="Q5" s="1"/>
  <c r="J27" i="8" l="1"/>
  <c r="P8" i="10"/>
  <c r="P7" s="1"/>
  <c r="P6" s="1"/>
  <c r="J26" i="8"/>
  <c r="J8"/>
  <c r="J7" s="1"/>
  <c r="J25" l="1"/>
  <c r="J6"/>
  <c r="L14" i="10" l="1"/>
  <c r="L15" s="1"/>
  <c r="L16" s="1"/>
  <c r="G9" i="8" l="1"/>
  <c r="F105"/>
  <c r="D104" i="10" l="1"/>
  <c r="N37" i="12" l="1"/>
  <c r="N36"/>
  <c r="N35"/>
  <c r="J37"/>
  <c r="J36"/>
  <c r="J35"/>
  <c r="D18" l="1"/>
  <c r="N33" l="1"/>
  <c r="O33"/>
  <c r="M33"/>
  <c r="U9"/>
  <c r="U10" s="1"/>
  <c r="U11" s="1"/>
  <c r="U12" s="1"/>
  <c r="U13" s="1"/>
  <c r="U14" s="1"/>
  <c r="U15" s="1"/>
  <c r="U16" s="1"/>
  <c r="U17" s="1"/>
  <c r="U18" s="1"/>
  <c r="U19" s="1"/>
  <c r="S9"/>
  <c r="S10" s="1"/>
  <c r="S11" s="1"/>
  <c r="S12" s="1"/>
  <c r="S13" s="1"/>
  <c r="S14" s="1"/>
  <c r="S15" s="1"/>
  <c r="S16" s="1"/>
  <c r="S17" s="1"/>
  <c r="S18" s="1"/>
  <c r="S19" s="1"/>
  <c r="S20" s="1"/>
  <c r="S21" s="1"/>
  <c r="S22" s="1"/>
  <c r="S23" s="1"/>
  <c r="S24" l="1"/>
  <c r="S25" s="1"/>
  <c r="S26" s="1"/>
  <c r="S27" s="1"/>
  <c r="S28" s="1"/>
  <c r="S29" s="1"/>
  <c r="S30" s="1"/>
  <c r="S31" s="1"/>
  <c r="AJ10"/>
  <c r="AJ26"/>
  <c r="AJ34"/>
  <c r="AJ42"/>
  <c r="AJ50"/>
  <c r="AJ58"/>
  <c r="AJ66"/>
  <c r="AJ74"/>
  <c r="AJ90"/>
  <c r="AJ98"/>
  <c r="AJ106"/>
  <c r="AJ114"/>
  <c r="AJ122"/>
  <c r="AJ130"/>
  <c r="AJ138"/>
  <c r="AJ154"/>
  <c r="AJ162"/>
  <c r="AJ170"/>
  <c r="AJ178"/>
  <c r="AJ186"/>
  <c r="AJ194"/>
  <c r="AJ202"/>
  <c r="AJ14"/>
  <c r="AJ46"/>
  <c r="AJ70"/>
  <c r="AJ102"/>
  <c r="AJ126"/>
  <c r="AJ150"/>
  <c r="AJ182"/>
  <c r="AJ47"/>
  <c r="AJ79"/>
  <c r="AJ103"/>
  <c r="AJ135"/>
  <c r="AJ167"/>
  <c r="AJ183"/>
  <c r="AJ32"/>
  <c r="AJ88"/>
  <c r="AJ120"/>
  <c r="AJ144"/>
  <c r="AJ176"/>
  <c r="AJ208"/>
  <c r="AJ17"/>
  <c r="AJ49"/>
  <c r="AJ89"/>
  <c r="AJ113"/>
  <c r="AJ145"/>
  <c r="AJ177"/>
  <c r="AJ11"/>
  <c r="AJ19"/>
  <c r="AJ27"/>
  <c r="AJ43"/>
  <c r="AJ51"/>
  <c r="AJ59"/>
  <c r="AJ67"/>
  <c r="AJ75"/>
  <c r="AJ83"/>
  <c r="AJ91"/>
  <c r="AJ99"/>
  <c r="AJ107"/>
  <c r="AJ115"/>
  <c r="AJ123"/>
  <c r="AJ131"/>
  <c r="AJ139"/>
  <c r="AJ147"/>
  <c r="AJ155"/>
  <c r="AJ163"/>
  <c r="AJ171"/>
  <c r="AJ179"/>
  <c r="AJ187"/>
  <c r="AJ195"/>
  <c r="AJ203"/>
  <c r="AJ211"/>
  <c r="AJ30"/>
  <c r="AJ54"/>
  <c r="AJ78"/>
  <c r="AJ110"/>
  <c r="AJ142"/>
  <c r="AJ174"/>
  <c r="AJ198"/>
  <c r="AJ39"/>
  <c r="AJ63"/>
  <c r="AJ87"/>
  <c r="AJ119"/>
  <c r="AJ151"/>
  <c r="AJ191"/>
  <c r="AJ24"/>
  <c r="AJ48"/>
  <c r="AJ80"/>
  <c r="AJ112"/>
  <c r="AJ136"/>
  <c r="AJ168"/>
  <c r="AJ192"/>
  <c r="AJ33"/>
  <c r="AJ57"/>
  <c r="AJ81"/>
  <c r="AJ105"/>
  <c r="AJ137"/>
  <c r="AJ169"/>
  <c r="AJ201"/>
  <c r="AJ12"/>
  <c r="AJ20"/>
  <c r="AJ28"/>
  <c r="AJ36"/>
  <c r="AJ44"/>
  <c r="AJ52"/>
  <c r="AJ60"/>
  <c r="AJ68"/>
  <c r="AJ76"/>
  <c r="AJ84"/>
  <c r="AJ92"/>
  <c r="AJ100"/>
  <c r="AJ108"/>
  <c r="AJ116"/>
  <c r="AJ124"/>
  <c r="AJ132"/>
  <c r="AJ140"/>
  <c r="AJ148"/>
  <c r="AJ156"/>
  <c r="AJ164"/>
  <c r="AJ172"/>
  <c r="AJ180"/>
  <c r="AJ188"/>
  <c r="AJ196"/>
  <c r="AJ204"/>
  <c r="AJ212"/>
  <c r="AJ22"/>
  <c r="AJ62"/>
  <c r="AJ86"/>
  <c r="AJ118"/>
  <c r="AJ158"/>
  <c r="AJ190"/>
  <c r="AJ15"/>
  <c r="AJ55"/>
  <c r="AJ95"/>
  <c r="AJ127"/>
  <c r="AJ159"/>
  <c r="AJ199"/>
  <c r="AJ40"/>
  <c r="AJ72"/>
  <c r="AJ96"/>
  <c r="AJ128"/>
  <c r="AJ160"/>
  <c r="AJ200"/>
  <c r="AJ41"/>
  <c r="AJ97"/>
  <c r="AJ129"/>
  <c r="AJ161"/>
  <c r="AJ193"/>
  <c r="AJ13"/>
  <c r="AJ21"/>
  <c r="AJ29"/>
  <c r="AJ37"/>
  <c r="AJ45"/>
  <c r="AJ53"/>
  <c r="AJ61"/>
  <c r="AJ69"/>
  <c r="AJ77"/>
  <c r="AJ85"/>
  <c r="AJ93"/>
  <c r="AJ101"/>
  <c r="AJ109"/>
  <c r="AJ117"/>
  <c r="AJ125"/>
  <c r="AJ133"/>
  <c r="AJ141"/>
  <c r="AJ149"/>
  <c r="AJ157"/>
  <c r="AJ165"/>
  <c r="AJ173"/>
  <c r="AJ181"/>
  <c r="AJ189"/>
  <c r="AJ197"/>
  <c r="AJ205"/>
  <c r="AJ9"/>
  <c r="AJ38"/>
  <c r="AJ94"/>
  <c r="AJ134"/>
  <c r="AJ166"/>
  <c r="AJ206"/>
  <c r="AJ31"/>
  <c r="AJ71"/>
  <c r="AJ111"/>
  <c r="AJ143"/>
  <c r="AJ175"/>
  <c r="AJ207"/>
  <c r="AJ16"/>
  <c r="AJ64"/>
  <c r="AJ104"/>
  <c r="AJ152"/>
  <c r="AJ184"/>
  <c r="AJ25"/>
  <c r="AJ73"/>
  <c r="AJ121"/>
  <c r="AJ153"/>
  <c r="AJ185"/>
  <c r="AJ209"/>
  <c r="AI6"/>
  <c r="AH6"/>
  <c r="AG6"/>
  <c r="AF6"/>
  <c r="AE6"/>
  <c r="AD6"/>
  <c r="AI5"/>
  <c r="AH5"/>
  <c r="AG5"/>
  <c r="AF5"/>
  <c r="AE5"/>
  <c r="AD5"/>
  <c r="AI4"/>
  <c r="AH4"/>
  <c r="AG4"/>
  <c r="AF4"/>
  <c r="AE4"/>
  <c r="AD4"/>
  <c r="AI3"/>
  <c r="M37" s="1"/>
  <c r="AH3"/>
  <c r="M36" s="1"/>
  <c r="AG3"/>
  <c r="M35" s="1"/>
  <c r="AF3"/>
  <c r="I37" s="1"/>
  <c r="AE3"/>
  <c r="I36" s="1"/>
  <c r="AD3"/>
  <c r="I35" s="1"/>
  <c r="AJ35" l="1"/>
  <c r="AJ65"/>
  <c r="AJ56"/>
  <c r="AJ23"/>
  <c r="AJ210"/>
  <c r="AJ146"/>
  <c r="AJ82"/>
  <c r="AJ18"/>
  <c r="S32"/>
  <c r="D5"/>
  <c r="S33" l="1"/>
  <c r="AJ291"/>
  <c r="AJ286"/>
  <c r="AJ294"/>
  <c r="AJ292"/>
  <c r="AJ285"/>
  <c r="AJ289"/>
  <c r="AJ287"/>
  <c r="AJ295"/>
  <c r="AJ288"/>
  <c r="AJ290"/>
  <c r="AJ296"/>
  <c r="AJ293"/>
  <c r="S34" l="1"/>
  <c r="S35" s="1"/>
  <c r="AJ327" s="1"/>
  <c r="AJ258"/>
  <c r="AJ264"/>
  <c r="AJ267"/>
  <c r="AJ228"/>
  <c r="AJ229"/>
  <c r="AJ273"/>
  <c r="AJ266"/>
  <c r="AJ275"/>
  <c r="AJ236"/>
  <c r="AJ237"/>
  <c r="AJ226"/>
  <c r="AJ246"/>
  <c r="AJ256"/>
  <c r="AJ260"/>
  <c r="AJ261"/>
  <c r="AJ233"/>
  <c r="AJ234"/>
  <c r="AJ278"/>
  <c r="AJ215"/>
  <c r="AJ268"/>
  <c r="AJ239"/>
  <c r="AJ248"/>
  <c r="AJ222"/>
  <c r="AJ277"/>
  <c r="AJ232"/>
  <c r="AJ262"/>
  <c r="AJ221"/>
  <c r="AJ281"/>
  <c r="AJ280"/>
  <c r="AJ238"/>
  <c r="AJ217"/>
  <c r="AJ242"/>
  <c r="AJ247"/>
  <c r="AJ276"/>
  <c r="AJ240"/>
  <c r="AJ270"/>
  <c r="AJ241"/>
  <c r="AJ250"/>
  <c r="AJ279"/>
  <c r="AJ220"/>
  <c r="AJ263"/>
  <c r="AJ274"/>
  <c r="AJ219"/>
  <c r="AJ283"/>
  <c r="AJ230"/>
  <c r="AJ223"/>
  <c r="AJ244"/>
  <c r="AJ245"/>
  <c r="AJ218"/>
  <c r="AJ282"/>
  <c r="AJ214"/>
  <c r="AJ227"/>
  <c r="AJ254"/>
  <c r="AJ255"/>
  <c r="AJ224"/>
  <c r="AJ252"/>
  <c r="AJ253"/>
  <c r="AJ225"/>
  <c r="AJ235"/>
  <c r="AJ216"/>
  <c r="AJ243"/>
  <c r="AJ269"/>
  <c r="AJ251"/>
  <c r="AJ231"/>
  <c r="AJ213"/>
  <c r="AJ271"/>
  <c r="AJ259"/>
  <c r="AJ284"/>
  <c r="AJ272"/>
  <c r="AJ257"/>
  <c r="AJ265"/>
  <c r="AJ249"/>
  <c r="AJ340"/>
  <c r="AJ330"/>
  <c r="AJ311"/>
  <c r="AJ299"/>
  <c r="AJ318"/>
  <c r="AJ338"/>
  <c r="AJ335"/>
  <c r="AJ307"/>
  <c r="AJ333"/>
  <c r="AJ302"/>
  <c r="AJ304"/>
  <c r="AJ328"/>
  <c r="AJ301"/>
  <c r="AJ297"/>
  <c r="AJ300"/>
  <c r="AJ337"/>
  <c r="AJ315"/>
  <c r="AJ323"/>
  <c r="AJ308"/>
  <c r="AJ303"/>
  <c r="AJ298"/>
  <c r="AJ310"/>
  <c r="AJ320"/>
  <c r="AJ316"/>
  <c r="AJ306"/>
  <c r="AJ334"/>
  <c r="AJ339"/>
  <c r="AJ324"/>
  <c r="AJ314"/>
  <c r="AJ336"/>
  <c r="AJ332"/>
  <c r="AJ309"/>
  <c r="AJ305"/>
  <c r="AJ329"/>
  <c r="AJ321"/>
  <c r="D10"/>
  <c r="E10" s="1"/>
  <c r="E9"/>
  <c r="D7"/>
  <c r="E7" s="1"/>
  <c r="D6"/>
  <c r="E6" s="1"/>
  <c r="C11"/>
  <c r="C12" s="1"/>
  <c r="C8"/>
  <c r="AJ312" l="1"/>
  <c r="AJ326"/>
  <c r="AJ325"/>
  <c r="AJ313"/>
  <c r="AJ331"/>
  <c r="AJ317"/>
  <c r="AJ319"/>
  <c r="AJ322"/>
  <c r="O36"/>
  <c r="D26" s="1"/>
  <c r="K37"/>
  <c r="C27" s="1"/>
  <c r="O37"/>
  <c r="D27" s="1"/>
  <c r="K36"/>
  <c r="C26" s="1"/>
  <c r="K35"/>
  <c r="C25" s="1"/>
  <c r="O35"/>
  <c r="H5"/>
  <c r="AL13"/>
  <c r="AL17"/>
  <c r="AL21"/>
  <c r="AL25"/>
  <c r="AL29"/>
  <c r="AL33"/>
  <c r="AL37"/>
  <c r="AL41"/>
  <c r="AL45"/>
  <c r="AL49"/>
  <c r="AL53"/>
  <c r="AL57"/>
  <c r="AL61"/>
  <c r="AL65"/>
  <c r="AL69"/>
  <c r="AL73"/>
  <c r="AL77"/>
  <c r="AL81"/>
  <c r="AL85"/>
  <c r="AL89"/>
  <c r="AK10"/>
  <c r="AK14"/>
  <c r="AK18"/>
  <c r="AK22"/>
  <c r="AK26"/>
  <c r="AK30"/>
  <c r="AK34"/>
  <c r="AK38"/>
  <c r="AK42"/>
  <c r="AK46"/>
  <c r="AK50"/>
  <c r="AK54"/>
  <c r="AK58"/>
  <c r="AK62"/>
  <c r="AK66"/>
  <c r="AK70"/>
  <c r="AK74"/>
  <c r="AK78"/>
  <c r="AK82"/>
  <c r="AK86"/>
  <c r="AK90"/>
  <c r="AK94"/>
  <c r="AK98"/>
  <c r="AK102"/>
  <c r="AK106"/>
  <c r="AK110"/>
  <c r="AK114"/>
  <c r="AK118"/>
  <c r="AK122"/>
  <c r="AK126"/>
  <c r="AK130"/>
  <c r="AK134"/>
  <c r="AK138"/>
  <c r="AK142"/>
  <c r="AK146"/>
  <c r="AK150"/>
  <c r="AK154"/>
  <c r="AK158"/>
  <c r="AK162"/>
  <c r="AK166"/>
  <c r="AK170"/>
  <c r="AK174"/>
  <c r="AK178"/>
  <c r="AK182"/>
  <c r="AK186"/>
  <c r="AK190"/>
  <c r="AK194"/>
  <c r="AK198"/>
  <c r="AK202"/>
  <c r="AK206"/>
  <c r="AK210"/>
  <c r="AK214"/>
  <c r="AK218"/>
  <c r="AK222"/>
  <c r="AK226"/>
  <c r="AK230"/>
  <c r="AK234"/>
  <c r="AK238"/>
  <c r="AK242"/>
  <c r="AK246"/>
  <c r="AK250"/>
  <c r="AK254"/>
  <c r="AK258"/>
  <c r="AK262"/>
  <c r="AK266"/>
  <c r="AK270"/>
  <c r="AK274"/>
  <c r="AK278"/>
  <c r="AK282"/>
  <c r="AK286"/>
  <c r="AK290"/>
  <c r="AK294"/>
  <c r="AK298"/>
  <c r="AK302"/>
  <c r="AK306"/>
  <c r="AK310"/>
  <c r="AK314"/>
  <c r="AK318"/>
  <c r="AK322"/>
  <c r="AK326"/>
  <c r="AK330"/>
  <c r="AK334"/>
  <c r="AK338"/>
  <c r="AL10"/>
  <c r="AL14"/>
  <c r="AL18"/>
  <c r="AL22"/>
  <c r="AL26"/>
  <c r="AL30"/>
  <c r="AL34"/>
  <c r="AL38"/>
  <c r="AL42"/>
  <c r="AL46"/>
  <c r="AL50"/>
  <c r="AL54"/>
  <c r="AL58"/>
  <c r="AL62"/>
  <c r="AL66"/>
  <c r="AL70"/>
  <c r="AL74"/>
  <c r="AL78"/>
  <c r="AL82"/>
  <c r="AL86"/>
  <c r="AL90"/>
  <c r="AL94"/>
  <c r="AL98"/>
  <c r="AL102"/>
  <c r="AL106"/>
  <c r="AL110"/>
  <c r="AL114"/>
  <c r="AL118"/>
  <c r="AL122"/>
  <c r="AL126"/>
  <c r="AL130"/>
  <c r="AL134"/>
  <c r="AL138"/>
  <c r="AL142"/>
  <c r="AL146"/>
  <c r="AL150"/>
  <c r="AL154"/>
  <c r="AL158"/>
  <c r="AL162"/>
  <c r="AL166"/>
  <c r="AL170"/>
  <c r="AL174"/>
  <c r="AL178"/>
  <c r="AL182"/>
  <c r="AL186"/>
  <c r="AL190"/>
  <c r="AL194"/>
  <c r="AL198"/>
  <c r="AL202"/>
  <c r="AL206"/>
  <c r="AL210"/>
  <c r="AL214"/>
  <c r="AL218"/>
  <c r="AL222"/>
  <c r="AL226"/>
  <c r="AL230"/>
  <c r="AL234"/>
  <c r="AL238"/>
  <c r="AL242"/>
  <c r="AL246"/>
  <c r="AL250"/>
  <c r="AL254"/>
  <c r="AL258"/>
  <c r="AL262"/>
  <c r="AL266"/>
  <c r="AL270"/>
  <c r="AL274"/>
  <c r="AL278"/>
  <c r="AL282"/>
  <c r="AL286"/>
  <c r="AL290"/>
  <c r="AL294"/>
  <c r="AL298"/>
  <c r="AL302"/>
  <c r="AL306"/>
  <c r="AL310"/>
  <c r="AL314"/>
  <c r="AL318"/>
  <c r="AL322"/>
  <c r="AL326"/>
  <c r="AL330"/>
  <c r="AL334"/>
  <c r="AL338"/>
  <c r="AL11"/>
  <c r="AL15"/>
  <c r="AL19"/>
  <c r="AL23"/>
  <c r="AL27"/>
  <c r="AL31"/>
  <c r="AL35"/>
  <c r="AL39"/>
  <c r="AL43"/>
  <c r="AL47"/>
  <c r="AL51"/>
  <c r="AL55"/>
  <c r="AL59"/>
  <c r="AL63"/>
  <c r="AL67"/>
  <c r="AL71"/>
  <c r="AL75"/>
  <c r="AL79"/>
  <c r="AL83"/>
  <c r="AL87"/>
  <c r="AL91"/>
  <c r="AL95"/>
  <c r="AL99"/>
  <c r="AL103"/>
  <c r="AL107"/>
  <c r="AL111"/>
  <c r="AL115"/>
  <c r="AL119"/>
  <c r="AL123"/>
  <c r="AL127"/>
  <c r="AL131"/>
  <c r="AL135"/>
  <c r="AL139"/>
  <c r="AL143"/>
  <c r="AL147"/>
  <c r="AL151"/>
  <c r="AL155"/>
  <c r="AL159"/>
  <c r="AL163"/>
  <c r="AL167"/>
  <c r="AL171"/>
  <c r="AL175"/>
  <c r="AL179"/>
  <c r="AL183"/>
  <c r="AL187"/>
  <c r="AL191"/>
  <c r="AL195"/>
  <c r="AL199"/>
  <c r="AL203"/>
  <c r="AL207"/>
  <c r="AL211"/>
  <c r="AL215"/>
  <c r="AL219"/>
  <c r="AL223"/>
  <c r="AL227"/>
  <c r="AL231"/>
  <c r="AL235"/>
  <c r="AL239"/>
  <c r="AL243"/>
  <c r="AL247"/>
  <c r="AL251"/>
  <c r="AL255"/>
  <c r="AL259"/>
  <c r="AL263"/>
  <c r="AL267"/>
  <c r="AL271"/>
  <c r="AL275"/>
  <c r="AL279"/>
  <c r="AL283"/>
  <c r="AL287"/>
  <c r="AL291"/>
  <c r="AL295"/>
  <c r="AL299"/>
  <c r="AL303"/>
  <c r="AL307"/>
  <c r="AL311"/>
  <c r="AL315"/>
  <c r="AL319"/>
  <c r="AL323"/>
  <c r="AL327"/>
  <c r="AL331"/>
  <c r="AL335"/>
  <c r="AL339"/>
  <c r="AK12"/>
  <c r="AK16"/>
  <c r="AK11"/>
  <c r="AL20"/>
  <c r="AL28"/>
  <c r="AL36"/>
  <c r="AL44"/>
  <c r="AL52"/>
  <c r="AL60"/>
  <c r="AL68"/>
  <c r="AL76"/>
  <c r="AL84"/>
  <c r="AL92"/>
  <c r="AK99"/>
  <c r="AK105"/>
  <c r="AK112"/>
  <c r="AL117"/>
  <c r="AL124"/>
  <c r="AK131"/>
  <c r="AK137"/>
  <c r="AK144"/>
  <c r="AL149"/>
  <c r="AL156"/>
  <c r="AK163"/>
  <c r="AK169"/>
  <c r="AK176"/>
  <c r="AL181"/>
  <c r="AL188"/>
  <c r="AK195"/>
  <c r="AK201"/>
  <c r="AK208"/>
  <c r="AL213"/>
  <c r="AL220"/>
  <c r="AK227"/>
  <c r="AK233"/>
  <c r="AK240"/>
  <c r="AL245"/>
  <c r="AL252"/>
  <c r="AK259"/>
  <c r="AK265"/>
  <c r="AK272"/>
  <c r="AL277"/>
  <c r="AL284"/>
  <c r="AK291"/>
  <c r="AK297"/>
  <c r="AK304"/>
  <c r="AL309"/>
  <c r="AL316"/>
  <c r="AK323"/>
  <c r="AK329"/>
  <c r="AK336"/>
  <c r="AL9"/>
  <c r="AK241"/>
  <c r="AL260"/>
  <c r="AK273"/>
  <c r="AL285"/>
  <c r="AK305"/>
  <c r="AL317"/>
  <c r="AK337"/>
  <c r="AK115"/>
  <c r="AL165"/>
  <c r="AK192"/>
  <c r="AK211"/>
  <c r="AK243"/>
  <c r="AK275"/>
  <c r="AL293"/>
  <c r="AK320"/>
  <c r="AK33"/>
  <c r="AK73"/>
  <c r="AL121"/>
  <c r="AK148"/>
  <c r="AL12"/>
  <c r="AK21"/>
  <c r="AK29"/>
  <c r="AK37"/>
  <c r="AK45"/>
  <c r="AK53"/>
  <c r="AK61"/>
  <c r="AK69"/>
  <c r="AK77"/>
  <c r="AK85"/>
  <c r="AK93"/>
  <c r="AK100"/>
  <c r="AL105"/>
  <c r="AL112"/>
  <c r="AK119"/>
  <c r="AK125"/>
  <c r="AK132"/>
  <c r="AL137"/>
  <c r="AL144"/>
  <c r="AK151"/>
  <c r="AK157"/>
  <c r="AK164"/>
  <c r="AL169"/>
  <c r="AL176"/>
  <c r="AK183"/>
  <c r="AK189"/>
  <c r="AK196"/>
  <c r="AL201"/>
  <c r="AL208"/>
  <c r="AK215"/>
  <c r="AK221"/>
  <c r="AK228"/>
  <c r="AL233"/>
  <c r="AL240"/>
  <c r="AK247"/>
  <c r="AK253"/>
  <c r="AK260"/>
  <c r="AL265"/>
  <c r="AL272"/>
  <c r="AK279"/>
  <c r="AK285"/>
  <c r="AK292"/>
  <c r="AL297"/>
  <c r="AL304"/>
  <c r="AK311"/>
  <c r="AK317"/>
  <c r="AK324"/>
  <c r="AL329"/>
  <c r="AL336"/>
  <c r="AL228"/>
  <c r="AL253"/>
  <c r="AK280"/>
  <c r="AL292"/>
  <c r="AK312"/>
  <c r="AL324"/>
  <c r="AL101"/>
  <c r="AL172"/>
  <c r="AL197"/>
  <c r="AK217"/>
  <c r="AK249"/>
  <c r="AL268"/>
  <c r="AK307"/>
  <c r="AL332"/>
  <c r="AK25"/>
  <c r="AK81"/>
  <c r="AK109"/>
  <c r="AK135"/>
  <c r="AK13"/>
  <c r="AK23"/>
  <c r="AK31"/>
  <c r="AK39"/>
  <c r="AK47"/>
  <c r="AK55"/>
  <c r="AK63"/>
  <c r="AK71"/>
  <c r="AK79"/>
  <c r="AK87"/>
  <c r="AL93"/>
  <c r="AL100"/>
  <c r="AK107"/>
  <c r="AK113"/>
  <c r="AK120"/>
  <c r="AL125"/>
  <c r="AL132"/>
  <c r="AK139"/>
  <c r="AK145"/>
  <c r="AK152"/>
  <c r="AL157"/>
  <c r="AL164"/>
  <c r="AK171"/>
  <c r="AK177"/>
  <c r="AK184"/>
  <c r="AL189"/>
  <c r="AL196"/>
  <c r="AK203"/>
  <c r="AK209"/>
  <c r="AK216"/>
  <c r="AL221"/>
  <c r="AK235"/>
  <c r="AK248"/>
  <c r="AK267"/>
  <c r="AK299"/>
  <c r="AK331"/>
  <c r="AK128"/>
  <c r="AL229"/>
  <c r="AL261"/>
  <c r="AL300"/>
  <c r="AK339"/>
  <c r="AK41"/>
  <c r="AK103"/>
  <c r="AK141"/>
  <c r="AK15"/>
  <c r="AK24"/>
  <c r="AK32"/>
  <c r="AK40"/>
  <c r="AK48"/>
  <c r="AK56"/>
  <c r="AK64"/>
  <c r="AK72"/>
  <c r="AK80"/>
  <c r="AK88"/>
  <c r="AK95"/>
  <c r="AK101"/>
  <c r="AK108"/>
  <c r="AL113"/>
  <c r="AL120"/>
  <c r="AK127"/>
  <c r="AK133"/>
  <c r="AK140"/>
  <c r="AL145"/>
  <c r="AL152"/>
  <c r="AK159"/>
  <c r="AK165"/>
  <c r="AK172"/>
  <c r="AL177"/>
  <c r="AL184"/>
  <c r="AK191"/>
  <c r="AK197"/>
  <c r="AK204"/>
  <c r="AL209"/>
  <c r="AL216"/>
  <c r="AK223"/>
  <c r="AK229"/>
  <c r="AK236"/>
  <c r="AL241"/>
  <c r="AL248"/>
  <c r="AK255"/>
  <c r="AK261"/>
  <c r="AK268"/>
  <c r="AL273"/>
  <c r="AL280"/>
  <c r="AK287"/>
  <c r="AK293"/>
  <c r="AK300"/>
  <c r="AL305"/>
  <c r="AL312"/>
  <c r="AK319"/>
  <c r="AK325"/>
  <c r="AK332"/>
  <c r="AL337"/>
  <c r="AL16"/>
  <c r="AL24"/>
  <c r="AL32"/>
  <c r="AL40"/>
  <c r="AL48"/>
  <c r="AL56"/>
  <c r="AL64"/>
  <c r="AL72"/>
  <c r="AL80"/>
  <c r="AL88"/>
  <c r="AK96"/>
  <c r="AL108"/>
  <c r="AK121"/>
  <c r="AL133"/>
  <c r="AL140"/>
  <c r="AK147"/>
  <c r="AK153"/>
  <c r="AK160"/>
  <c r="AK179"/>
  <c r="AK185"/>
  <c r="AL204"/>
  <c r="AK224"/>
  <c r="AL236"/>
  <c r="AK256"/>
  <c r="AK281"/>
  <c r="AK288"/>
  <c r="AK313"/>
  <c r="AL325"/>
  <c r="AK17"/>
  <c r="AK49"/>
  <c r="AK57"/>
  <c r="AK65"/>
  <c r="AK89"/>
  <c r="AL96"/>
  <c r="AK116"/>
  <c r="AL128"/>
  <c r="AK19"/>
  <c r="AK51"/>
  <c r="AK83"/>
  <c r="AL109"/>
  <c r="AK136"/>
  <c r="AK156"/>
  <c r="AL173"/>
  <c r="AL192"/>
  <c r="AK207"/>
  <c r="AK225"/>
  <c r="AK244"/>
  <c r="AL257"/>
  <c r="AL276"/>
  <c r="AK295"/>
  <c r="AK309"/>
  <c r="AK328"/>
  <c r="AK231"/>
  <c r="AK264"/>
  <c r="AL296"/>
  <c r="AK301"/>
  <c r="AK35"/>
  <c r="AK167"/>
  <c r="AK200"/>
  <c r="AK269"/>
  <c r="AK36"/>
  <c r="AK168"/>
  <c r="AL269"/>
  <c r="AK321"/>
  <c r="AK104"/>
  <c r="AK187"/>
  <c r="AL256"/>
  <c r="AL321"/>
  <c r="AK20"/>
  <c r="AK52"/>
  <c r="AK84"/>
  <c r="AK111"/>
  <c r="AL136"/>
  <c r="AL160"/>
  <c r="AK175"/>
  <c r="AK193"/>
  <c r="AK212"/>
  <c r="AL225"/>
  <c r="AL244"/>
  <c r="AK263"/>
  <c r="AK277"/>
  <c r="AK296"/>
  <c r="AL313"/>
  <c r="AL328"/>
  <c r="AL212"/>
  <c r="AL281"/>
  <c r="AK315"/>
  <c r="AK316"/>
  <c r="AK67"/>
  <c r="AL148"/>
  <c r="AL217"/>
  <c r="AL301"/>
  <c r="AL97"/>
  <c r="AL185"/>
  <c r="AK252"/>
  <c r="AK43"/>
  <c r="AL168"/>
  <c r="AK271"/>
  <c r="AL340"/>
  <c r="AK27"/>
  <c r="AK59"/>
  <c r="AK91"/>
  <c r="AL116"/>
  <c r="AL141"/>
  <c r="AK161"/>
  <c r="AK180"/>
  <c r="AL193"/>
  <c r="AK245"/>
  <c r="AK333"/>
  <c r="AK97"/>
  <c r="AK251"/>
  <c r="AK335"/>
  <c r="AK124"/>
  <c r="AK219"/>
  <c r="AK303"/>
  <c r="AK129"/>
  <c r="AK220"/>
  <c r="AK289"/>
  <c r="AK28"/>
  <c r="AK60"/>
  <c r="AK92"/>
  <c r="AK117"/>
  <c r="AK143"/>
  <c r="AL161"/>
  <c r="AL180"/>
  <c r="AK199"/>
  <c r="AK213"/>
  <c r="AK232"/>
  <c r="AL249"/>
  <c r="AL264"/>
  <c r="AK283"/>
  <c r="AL333"/>
  <c r="AK123"/>
  <c r="AK181"/>
  <c r="AL232"/>
  <c r="AK284"/>
  <c r="AL320"/>
  <c r="AK68"/>
  <c r="AK149"/>
  <c r="AL200"/>
  <c r="AK237"/>
  <c r="AL288"/>
  <c r="AK340"/>
  <c r="AK75"/>
  <c r="AL153"/>
  <c r="AK205"/>
  <c r="AL237"/>
  <c r="AK308"/>
  <c r="AL308"/>
  <c r="AK9"/>
  <c r="AK44"/>
  <c r="AK76"/>
  <c r="AL104"/>
  <c r="AL129"/>
  <c r="AK155"/>
  <c r="AK173"/>
  <c r="AK188"/>
  <c r="AL205"/>
  <c r="AL224"/>
  <c r="AK239"/>
  <c r="AK257"/>
  <c r="AK276"/>
  <c r="AL289"/>
  <c r="AK327"/>
  <c r="AJ6"/>
  <c r="C15"/>
  <c r="C17" s="1"/>
  <c r="D11"/>
  <c r="D8"/>
  <c r="E8" s="1"/>
  <c r="D25" l="1"/>
  <c r="D29" s="1"/>
  <c r="AK3"/>
  <c r="AK4" s="1"/>
  <c r="AL3"/>
  <c r="AL4" s="1"/>
  <c r="C29"/>
  <c r="D12"/>
  <c r="E11"/>
  <c r="H3" i="8"/>
  <c r="E14" i="10"/>
  <c r="D30" i="12" l="1"/>
  <c r="C30"/>
  <c r="E12"/>
  <c r="J2" i="10"/>
  <c r="O2" i="11" l="1"/>
  <c r="O2" i="12"/>
  <c r="C32"/>
  <c r="C31"/>
  <c r="D31"/>
  <c r="D32"/>
  <c r="G2" i="8"/>
  <c r="F107" i="10"/>
  <c r="F108" s="1"/>
  <c r="D33" i="12" l="1"/>
  <c r="C33"/>
  <c r="D13"/>
  <c r="D15" s="1"/>
  <c r="D17" s="1"/>
  <c r="E17" s="1"/>
  <c r="D19" s="1"/>
  <c r="E19" s="1"/>
  <c r="E21" i="10"/>
  <c r="E13" i="12" l="1"/>
  <c r="E15"/>
  <c r="C14" l="1"/>
  <c r="D14" s="1"/>
  <c r="E14" s="1"/>
  <c r="F18" i="10"/>
  <c r="D107" l="1"/>
  <c r="D105"/>
  <c r="D106" l="1"/>
  <c r="D108" l="1"/>
  <c r="D109" s="1"/>
  <c r="F19"/>
  <c r="O3" s="1"/>
  <c r="B27" l="1"/>
  <c r="P14"/>
  <c r="F21"/>
  <c r="G19"/>
  <c r="F17"/>
  <c r="G17" s="1"/>
  <c r="H17"/>
  <c r="G21" l="1"/>
  <c r="I21"/>
  <c r="I17"/>
  <c r="J17" s="1"/>
  <c r="C120"/>
  <c r="C119"/>
  <c r="H14" l="1"/>
  <c r="H15"/>
  <c r="H16"/>
  <c r="H18"/>
  <c r="H13"/>
  <c r="D14"/>
  <c r="E22" s="1"/>
  <c r="G113" l="1"/>
  <c r="F20" s="1"/>
  <c r="M14" l="1"/>
  <c r="M15"/>
  <c r="M16"/>
  <c r="M13"/>
  <c r="F13"/>
  <c r="F16"/>
  <c r="F14"/>
  <c r="F15"/>
  <c r="D119"/>
  <c r="D120"/>
  <c r="C118"/>
  <c r="C117"/>
  <c r="C116"/>
  <c r="F22" l="1"/>
  <c r="G22" s="1"/>
  <c r="F23" s="1"/>
  <c r="E116" a="1"/>
  <c r="F116" s="1"/>
  <c r="I13"/>
  <c r="J13" s="1"/>
  <c r="G13"/>
  <c r="G20"/>
  <c r="G15"/>
  <c r="I15"/>
  <c r="J15" s="1"/>
  <c r="G14"/>
  <c r="I14"/>
  <c r="J14" s="1"/>
  <c r="I16"/>
  <c r="J16" s="1"/>
  <c r="G16"/>
  <c r="I18"/>
  <c r="G18"/>
  <c r="H21"/>
  <c r="J21" s="1"/>
  <c r="F24" l="1"/>
  <c r="G24" s="1"/>
  <c r="J24" s="1"/>
  <c r="P5"/>
  <c r="E117"/>
  <c r="F118"/>
  <c r="G119"/>
  <c r="E116"/>
  <c r="F117"/>
  <c r="G118"/>
  <c r="E120"/>
  <c r="G117"/>
  <c r="E119"/>
  <c r="F120"/>
  <c r="G116"/>
  <c r="E118"/>
  <c r="F119"/>
  <c r="G120"/>
  <c r="J18"/>
  <c r="I22"/>
  <c r="H22"/>
  <c r="C15" i="8"/>
  <c r="C17" s="1"/>
  <c r="E122" i="10" l="1"/>
  <c r="J22"/>
  <c r="I23" s="1"/>
  <c r="B35" i="8"/>
  <c r="C22"/>
  <c r="I24" i="10" l="1"/>
  <c r="B28"/>
  <c r="C16" i="8"/>
  <c r="G16" l="1"/>
  <c r="F16"/>
  <c r="E16"/>
  <c r="D16"/>
  <c r="D15" l="1"/>
  <c r="F15"/>
  <c r="F18" s="1"/>
  <c r="C20"/>
  <c r="E15"/>
  <c r="G15"/>
  <c r="C21" l="1"/>
  <c r="G10" s="1"/>
  <c r="C27"/>
  <c r="C31" s="1"/>
  <c r="F17"/>
  <c r="F20" s="1"/>
  <c r="D18"/>
  <c r="D17"/>
  <c r="D20" s="1"/>
  <c r="D27" s="1"/>
  <c r="G22"/>
  <c r="D22"/>
  <c r="E22"/>
  <c r="F22"/>
  <c r="G17"/>
  <c r="G18"/>
  <c r="F27" l="1"/>
  <c r="F31" s="1"/>
  <c r="D21"/>
  <c r="D31"/>
  <c r="F21"/>
  <c r="G20"/>
  <c r="G27" l="1"/>
  <c r="G31" s="1"/>
  <c r="G21"/>
  <c r="G26" s="1"/>
  <c r="G30" s="1"/>
  <c r="D26"/>
  <c r="D30" s="1"/>
  <c r="F26"/>
  <c r="F30" s="1"/>
  <c r="C26"/>
  <c r="C30" s="1"/>
  <c r="G35" l="1"/>
  <c r="F35"/>
  <c r="D35"/>
  <c r="F32"/>
  <c r="F28"/>
  <c r="F23" s="1"/>
  <c r="D32"/>
  <c r="D28"/>
  <c r="D23" s="1"/>
  <c r="C32"/>
  <c r="C28"/>
  <c r="C23" s="1"/>
  <c r="G32"/>
  <c r="G28"/>
  <c r="G23" s="1"/>
  <c r="G33" l="1"/>
  <c r="F33"/>
  <c r="F34" s="1"/>
  <c r="D33"/>
  <c r="D34" s="1"/>
  <c r="G34" l="1"/>
  <c r="J24"/>
  <c r="E18"/>
  <c r="E17" l="1"/>
  <c r="E20" l="1"/>
  <c r="E27" l="1"/>
  <c r="E31" s="1"/>
  <c r="E21"/>
  <c r="E26" s="1"/>
  <c r="E30" s="1"/>
  <c r="E35" l="1"/>
  <c r="E28"/>
  <c r="E23" s="1"/>
  <c r="E32"/>
  <c r="E33" s="1"/>
  <c r="E34" l="1"/>
  <c r="J5"/>
</calcChain>
</file>

<file path=xl/comments1.xml><?xml version="1.0" encoding="utf-8"?>
<comments xmlns="http://schemas.openxmlformats.org/spreadsheetml/2006/main">
  <authors>
    <author>Kevin C Dhuyvetter</author>
  </authors>
  <commentList>
    <comment ref="B8" authorId="0">
      <text>
        <r>
          <rPr>
            <sz val="9"/>
            <color indexed="81"/>
            <rFont val="Tahoma"/>
            <family val="2"/>
          </rPr>
          <t>This column refers to specific cells, e.g., D4 refers to cell D4 in the Cow-calf tab.</t>
        </r>
      </text>
    </comment>
  </commentList>
</comments>
</file>

<file path=xl/comments2.xml><?xml version="1.0" encoding="utf-8"?>
<comments xmlns="http://schemas.openxmlformats.org/spreadsheetml/2006/main">
  <authors>
    <author>Kevin C Dhuyvetter</author>
  </authors>
  <commentList>
    <comment ref="D4" authorId="0">
      <text>
        <r>
          <rPr>
            <sz val="9"/>
            <color indexed="81"/>
            <rFont val="Tahoma"/>
            <family val="2"/>
          </rPr>
          <t>Enter the cost of supplement including Rumensin as $/ton.</t>
        </r>
      </text>
    </comment>
    <comment ref="D5" authorId="0">
      <text>
        <r>
          <rPr>
            <sz val="9"/>
            <color indexed="81"/>
            <rFont val="Tahoma"/>
            <family val="2"/>
          </rPr>
          <t>Enter the inclusion rate of Rumensin in the supplement as mg/lb.</t>
        </r>
      </text>
    </comment>
    <comment ref="D6" authorId="0">
      <text>
        <r>
          <rPr>
            <sz val="9"/>
            <color indexed="81"/>
            <rFont val="Tahoma"/>
            <family val="2"/>
          </rPr>
          <t>Enter the cost of supplement without Rumensin as $/ton.
Note -- it is assumed that this supplement and the one entered in D4 are identical formulation with the exception of the Rumensin and thus price difference reflects the cost of Rumensin.</t>
        </r>
      </text>
    </comment>
    <comment ref="D8" authorId="0">
      <text>
        <r>
          <rPr>
            <sz val="9"/>
            <color indexed="81"/>
            <rFont val="Tahoma"/>
            <family val="2"/>
          </rPr>
          <t>Enter the total number of cows in the herd/group being analyzed.</t>
        </r>
      </text>
    </comment>
    <comment ref="D9" authorId="0">
      <text>
        <r>
          <rPr>
            <sz val="9"/>
            <color indexed="81"/>
            <rFont val="Tahoma"/>
            <family val="2"/>
          </rPr>
          <t>Enter the total number of days the cows are being feed/supplemented.</t>
        </r>
      </text>
    </comment>
    <comment ref="L11" authorId="0">
      <text>
        <r>
          <rPr>
            <sz val="9"/>
            <color indexed="81"/>
            <rFont val="Tahoma"/>
            <family val="2"/>
          </rPr>
          <t xml:space="preserve">This column allows the expected feed savings value in cell G16 to be adjusted for different feedstuffs (e.g., 100% will use the value, 0% will result in no feed savings.
</t>
        </r>
        <r>
          <rPr>
            <b/>
            <sz val="9"/>
            <color indexed="81"/>
            <rFont val="Tahoma"/>
            <family val="2"/>
          </rPr>
          <t>Note:</t>
        </r>
        <r>
          <rPr>
            <sz val="9"/>
            <color indexed="81"/>
            <rFont val="Tahoma"/>
            <family val="2"/>
          </rPr>
          <t xml:space="preserve"> This value should be left at 100% unless there is compelling reason to lower it.</t>
        </r>
      </text>
    </comment>
    <comment ref="B12" authorId="0">
      <text>
        <r>
          <rPr>
            <sz val="9"/>
            <color indexed="81"/>
            <rFont val="Tahoma"/>
            <family val="2"/>
          </rPr>
          <t>Enter a short name/description for up to four different feedstuffs.</t>
        </r>
      </text>
    </comment>
    <comment ref="D12" authorId="0">
      <text>
        <r>
          <rPr>
            <sz val="9"/>
            <color indexed="81"/>
            <rFont val="Tahoma"/>
            <family val="2"/>
          </rPr>
          <t>Enter the price per ton (as-fed basis) for each of the feedstuffs listed including mineral.
Note: It is assumed Rumensin is provided via a supplement and not the mineral.</t>
        </r>
      </text>
    </comment>
    <comment ref="E12" authorId="0">
      <text>
        <r>
          <rPr>
            <sz val="9"/>
            <color indexed="81"/>
            <rFont val="Tahoma"/>
            <family val="2"/>
          </rPr>
          <t>Enter the feed provided for each feedstuff (including mineral and supplement) as pounds/head/day assuming no Rumensin is fed.
Note: If a feedstuff is not fed for the entire feeding period, adjust the daily rate to reflect the entire time period.  For example, if 2 lbs of grain are fed for 60 days out of a 120-day feeding period, enter 1 lb/hd/day (2 x 60 / 120).</t>
        </r>
      </text>
    </comment>
  </commentList>
</comments>
</file>

<file path=xl/comments3.xml><?xml version="1.0" encoding="utf-8"?>
<comments xmlns="http://schemas.openxmlformats.org/spreadsheetml/2006/main">
  <authors>
    <author>Kevin C Dhuyvetter</author>
  </authors>
  <commentList>
    <comment ref="G3" authorId="0">
      <text>
        <r>
          <rPr>
            <sz val="9"/>
            <color indexed="81"/>
            <rFont val="Tahoma"/>
            <family val="2"/>
          </rPr>
          <t>Enter one of the following:
  1 = Meta Deads Out (DO) Reference
  2 = Meta Deads In (DI) Reference
  3 = Duffield JAS 2012 Reference
See footnote 1 for references.</t>
        </r>
      </text>
    </comment>
    <comment ref="G4" authorId="0">
      <text>
        <r>
          <rPr>
            <sz val="9"/>
            <color indexed="81"/>
            <rFont val="Tahoma"/>
            <family val="2"/>
          </rPr>
          <t>Enter the average days cattle are on feed.</t>
        </r>
      </text>
    </comment>
    <comment ref="G5" authorId="0">
      <text>
        <r>
          <rPr>
            <sz val="9"/>
            <color indexed="81"/>
            <rFont val="Tahoma"/>
            <family val="2"/>
          </rPr>
          <t>Enter the average dry matter intake (DMI) as lbs/hd/day for the base scenario (column C).</t>
        </r>
      </text>
    </comment>
    <comment ref="G6" authorId="0">
      <text>
        <r>
          <rPr>
            <sz val="9"/>
            <color indexed="81"/>
            <rFont val="Tahoma"/>
            <family val="2"/>
          </rPr>
          <t>Enter the expected average daily gain, lbs/hd/day.</t>
        </r>
      </text>
    </comment>
    <comment ref="G7" authorId="0">
      <text>
        <r>
          <rPr>
            <sz val="9"/>
            <color indexed="81"/>
            <rFont val="Tahoma"/>
            <family val="2"/>
          </rPr>
          <t>Enter the total ration cost for the base scenario (column C).  If the base scenario includes Rumensin, make sure that cost is included in the total ration cost.</t>
        </r>
      </text>
    </comment>
    <comment ref="F8" authorId="0">
      <text>
        <r>
          <rPr>
            <sz val="9"/>
            <color indexed="81"/>
            <rFont val="Tahoma"/>
            <family val="2"/>
          </rPr>
          <t>Enter the unit of Rumensin cost, where 1=cost of 25 kg bag and 2=cost per 100 mg.</t>
        </r>
      </text>
    </comment>
    <comment ref="G8" authorId="0">
      <text>
        <r>
          <rPr>
            <sz val="9"/>
            <color indexed="81"/>
            <rFont val="Tahoma"/>
            <family val="2"/>
          </rPr>
          <t>Enter the cost per bag of Rumensin 90 (25 kg bag)</t>
        </r>
      </text>
    </comment>
    <comment ref="G11" authorId="0">
      <text>
        <r>
          <rPr>
            <sz val="9"/>
            <color indexed="81"/>
            <rFont val="Tahoma"/>
            <family val="2"/>
          </rPr>
          <t xml:space="preserve">Enter the total number of cattle fed/marketed per year. </t>
        </r>
      </text>
    </comment>
    <comment ref="D13" authorId="0">
      <text>
        <r>
          <rPr>
            <sz val="9"/>
            <color indexed="81"/>
            <rFont val="Tahoma"/>
            <family val="2"/>
          </rPr>
          <t xml:space="preserve">Enter up to four alternative rates to compare to the Base rate.
</t>
        </r>
        <r>
          <rPr>
            <b/>
            <sz val="9"/>
            <color indexed="81"/>
            <rFont val="Tahoma"/>
            <family val="2"/>
          </rPr>
          <t>Note: Label rate is 5-40 g/ton.</t>
        </r>
      </text>
    </comment>
    <comment ref="C14" authorId="0">
      <text>
        <r>
          <rPr>
            <sz val="9"/>
            <color indexed="81"/>
            <rFont val="Tahoma"/>
            <family val="2"/>
          </rPr>
          <t>Enter the level of Rumensin to compare to.  If Rumensin is not fed, enter 0. Label rate is 5-40 g/ton.</t>
        </r>
      </text>
    </comment>
  </commentList>
</comments>
</file>

<file path=xl/comments4.xml><?xml version="1.0" encoding="utf-8"?>
<comments xmlns="http://schemas.openxmlformats.org/spreadsheetml/2006/main">
  <authors>
    <author>Kevin C Dhuyvetter</author>
  </authors>
  <commentList>
    <comment ref="K34" authorId="0">
      <text>
        <r>
          <rPr>
            <sz val="9"/>
            <color indexed="81"/>
            <rFont val="Tahoma"/>
            <family val="2"/>
          </rPr>
          <t>The "Conditional average" represents a user-defined time period for year(s) and month(s) to include.  These values are "picked" in columns T and V (using 1's and 0's, where 1=Use and 0=Exclude).</t>
        </r>
      </text>
    </comment>
    <comment ref="D36" authorId="0">
      <text>
        <r>
          <rPr>
            <sz val="9"/>
            <color indexed="81"/>
            <rFont val="Tahoma"/>
            <family val="2"/>
          </rPr>
          <t>To override regression-based slide (cells C32 and D32), enter a value here.  To use the regression-based value, enter $0 in this cell.</t>
        </r>
      </text>
    </comment>
  </commentList>
</comments>
</file>

<file path=xl/sharedStrings.xml><?xml version="1.0" encoding="utf-8"?>
<sst xmlns="http://schemas.openxmlformats.org/spreadsheetml/2006/main" count="299" uniqueCount="252">
  <si>
    <t>DMI</t>
  </si>
  <si>
    <t>Rumensin cost, $/100 mg</t>
  </si>
  <si>
    <t>mg/hd/d</t>
  </si>
  <si>
    <t>Feed</t>
  </si>
  <si>
    <t>Cost, $/hd/day</t>
  </si>
  <si>
    <t>Rum</t>
  </si>
  <si>
    <t>Total</t>
  </si>
  <si>
    <t>Cost, $/hd</t>
  </si>
  <si>
    <t>Cost, $/t</t>
  </si>
  <si>
    <t>Deads out</t>
  </si>
  <si>
    <t>Deads in</t>
  </si>
  <si>
    <t>Duffield</t>
  </si>
  <si>
    <t>Reduction in DMI</t>
  </si>
  <si>
    <t>Feed, lb/d</t>
  </si>
  <si>
    <t>Total DM</t>
  </si>
  <si>
    <t>* Dollars of gross benefit per dollar invested in Rumensin (subtract 1 for net)</t>
  </si>
  <si>
    <t>Rumensin, g/ton</t>
  </si>
  <si>
    <t>Base</t>
  </si>
  <si>
    <t>Dry-matter intake (DMI), lbs (Base)</t>
  </si>
  <si>
    <t>Total ration cost, $/ton (Base)</t>
  </si>
  <si>
    <t>Feed savings, $/hd</t>
  </si>
  <si>
    <r>
      <rPr>
        <b/>
        <sz val="11"/>
        <color theme="1"/>
        <rFont val="Calibri"/>
        <family val="2"/>
        <scheme val="minor"/>
      </rPr>
      <t>For the prevention and control of coccidiosis due to Eimeria bovis and Eimeria zuemii:</t>
    </r>
    <r>
      <rPr>
        <sz val="11"/>
        <color theme="1"/>
        <rFont val="Calibri"/>
        <family val="2"/>
        <scheme val="minor"/>
      </rPr>
      <t xml:space="preserve">  Feed 10</t>
    </r>
  </si>
  <si>
    <t>Rumensin:  Cattle fed in confinement for slaughter</t>
  </si>
  <si>
    <t>Rumensin:  Mature reproducing beef cows</t>
  </si>
  <si>
    <t>Rumensin</t>
  </si>
  <si>
    <t>Dose</t>
  </si>
  <si>
    <t>Dose sq</t>
  </si>
  <si>
    <t>Intercept</t>
  </si>
  <si>
    <t>Dose Sq</t>
  </si>
  <si>
    <t>Expected feed savings, %</t>
  </si>
  <si>
    <t>Percent feed reduction by dose</t>
  </si>
  <si>
    <t>Slope between 50 and 200 =&gt;</t>
  </si>
  <si>
    <t>Cost per 25 kg bag of Rumensin 90 (90.7 g/lb)</t>
  </si>
  <si>
    <t>Lbs per kg</t>
  </si>
  <si>
    <t>Assumed markup to producer</t>
  </si>
  <si>
    <t>Cost of Rumensin per 100 mg</t>
  </si>
  <si>
    <t>Feedstuffs fed, lbs/hd/day</t>
  </si>
  <si>
    <t>Other</t>
  </si>
  <si>
    <t>$/ton</t>
  </si>
  <si>
    <t>Rumensin dose, mg/hd/d</t>
  </si>
  <si>
    <t>Total cows in herd</t>
  </si>
  <si>
    <t>Number of days cows are fed</t>
  </si>
  <si>
    <t>No-Rumensin</t>
  </si>
  <si>
    <t>Total feed cost, $/hd</t>
  </si>
  <si>
    <t>in a complete feed to provide 50 to 480 mg/hd/d. Do not self-feed.</t>
  </si>
  <si>
    <r>
      <rPr>
        <b/>
        <sz val="11"/>
        <color theme="1"/>
        <rFont val="Calibri"/>
        <family val="2"/>
        <scheme val="minor"/>
      </rPr>
      <t xml:space="preserve">For improved feed efficiency:  </t>
    </r>
    <r>
      <rPr>
        <sz val="11"/>
        <color theme="1"/>
        <rFont val="Calibri"/>
        <family val="2"/>
        <scheme val="minor"/>
      </rPr>
      <t>Feed 5 to 40 g/ton of monensin (90% DM basis) continuously</t>
    </r>
  </si>
  <si>
    <t>weight/d of monensin, depending upon severity of challenge, up to a maximum of 480 mg/hd/d.</t>
  </si>
  <si>
    <t>to 40 g/ton of monensin (90% DM basis) continuously to provide 0.14 to 0.42 mg/lb of body</t>
  </si>
  <si>
    <t>Total cost for herd for feeding period</t>
  </si>
  <si>
    <t>Values Per Cow</t>
  </si>
  <si>
    <t>Values for Herd</t>
  </si>
  <si>
    <t>Tons of feed fed for feeding period</t>
  </si>
  <si>
    <t>Dose, mg/hd/d =&gt;</t>
  </si>
  <si>
    <t>&lt;= Expected feed savings, %</t>
  </si>
  <si>
    <t>Supplement</t>
  </si>
  <si>
    <t>Mineral</t>
  </si>
  <si>
    <t>Supplement cost, $/hd/d</t>
  </si>
  <si>
    <r>
      <t xml:space="preserve">For improved feed efficiency when receiving supplemental feed:  </t>
    </r>
    <r>
      <rPr>
        <sz val="11"/>
        <color theme="1"/>
        <rFont val="Calibri"/>
        <family val="2"/>
        <scheme val="minor"/>
      </rPr>
      <t>Feed continuously at a rate of 50 to 200 mg/hd/d of monensin. Cows on pasture or in drylot must receive a minimum of 1.0 lb of Type C medicated feed/hd/d. Do not self-feed.</t>
    </r>
  </si>
  <si>
    <r>
      <rPr>
        <b/>
        <sz val="11"/>
        <color theme="1"/>
        <rFont val="Calibri"/>
        <family val="2"/>
        <scheme val="minor"/>
      </rPr>
      <t>For the prevention and control of coccidiosis due to Eimeria bovis and Eimeria zuemii:</t>
    </r>
    <r>
      <rPr>
        <sz val="11"/>
        <color theme="1"/>
        <rFont val="Calibri"/>
        <family val="2"/>
        <scheme val="minor"/>
      </rPr>
      <t xml:space="preserve">  Feed at a rate to provide 0.14 to 0.42 mg/lb of body weight/d of monensin, depending upn severity of challenge, up to a maximum of 200 mg/hd/d.</t>
    </r>
  </si>
  <si>
    <t>Protein source</t>
  </si>
  <si>
    <t>Supplement information</t>
  </si>
  <si>
    <t>Cost with Rumensin, $/ton</t>
  </si>
  <si>
    <t>Rumensin inclusion rate, mg/lb</t>
  </si>
  <si>
    <t>Cost without Rumensin, $/ton</t>
  </si>
  <si>
    <t>Pounds/head/day (as-fed)</t>
  </si>
  <si>
    <t>Hay/forage</t>
  </si>
  <si>
    <t>Grain</t>
  </si>
  <si>
    <t>Supplement cost with Rumensin, $/ton</t>
  </si>
  <si>
    <t>Markup, $/ton</t>
  </si>
  <si>
    <t>Supplement cost w/o Rumensin, $/ton</t>
  </si>
  <si>
    <t>Inclusion rate, mg/lb of supplement</t>
  </si>
  <si>
    <t>Rumensin cost, $/bag</t>
  </si>
  <si>
    <t xml:space="preserve">Note: Improvements in feed efficiency values are based on limited data and calculated economic returns are based on market prices that are subject to change. Elanco implies no guarantee of results.  Work with your nutritional advisor to determine the most effective Rumensin level for your herd.  </t>
  </si>
  <si>
    <t>Days on feed (DOF)</t>
  </si>
  <si>
    <t>Average daily gain (ADG), lbs</t>
  </si>
  <si>
    <t>3.  Duffield et al., 2012 J. Anim Sci. 90:4583 (Meta-analysis of 40 peer reviewed articles and 24-trial reports: 64 studies total that included beef cattle and Holstein steers).</t>
  </si>
  <si>
    <t>References</t>
  </si>
  <si>
    <t>Method (Deads Out=1, Deads In=2, Duffield=3) (see References)</t>
  </si>
  <si>
    <t>Total cattle fed/marketed per year</t>
  </si>
  <si>
    <t>Alternative Levels (compared to Base)</t>
  </si>
  <si>
    <t>Total net feed savings, $/year</t>
  </si>
  <si>
    <t>FE (DMI/ADG)</t>
  </si>
  <si>
    <t>Value used for analysis</t>
  </si>
  <si>
    <t>Rel Feed</t>
  </si>
  <si>
    <t>Rumensin, Elanco, and the diagonal bar logo are trademarks of Elanco and its affiliates.</t>
  </si>
  <si>
    <r>
      <t xml:space="preserve">© 2019 Elanco </t>
    </r>
    <r>
      <rPr>
        <sz val="10"/>
        <color rgb="FF555555"/>
        <rFont val="Calibri"/>
        <family val="2"/>
        <scheme val="minor"/>
      </rPr>
      <t>PM-US-19-1143</t>
    </r>
  </si>
  <si>
    <t xml:space="preserve">Rumensin, Elanco, and the diagonal bar logo are trademarks of Elanco and its affiliates. </t>
  </si>
  <si>
    <t>© 2019 Elanco.  All rights reserved.  PM-US-19-1143</t>
  </si>
  <si>
    <t>Rumensin® Value Calculator -- FEEDLOT</t>
  </si>
  <si>
    <t>Rumensin® Value Calculator -- BEEF COWS</t>
  </si>
  <si>
    <t>Cost of Rumensin per bag including markup</t>
  </si>
  <si>
    <t xml:space="preserve">Last update: </t>
  </si>
  <si>
    <t xml:space="preserve">Password:  </t>
  </si>
  <si>
    <t>int&amp;bdB</t>
  </si>
  <si>
    <t>Adjustment to</t>
  </si>
  <si>
    <t>feed savings</t>
  </si>
  <si>
    <t>%</t>
  </si>
  <si>
    <t>Savings</t>
  </si>
  <si>
    <t>Instructions</t>
  </si>
  <si>
    <t>D6</t>
  </si>
  <si>
    <t>D8</t>
  </si>
  <si>
    <r>
      <rPr>
        <b/>
        <sz val="11"/>
        <color theme="1"/>
        <rFont val="Calibri"/>
        <family val="2"/>
        <scheme val="minor"/>
      </rPr>
      <t>Label</t>
    </r>
    <r>
      <rPr>
        <sz val="11"/>
        <color theme="1"/>
        <rFont val="Calibri"/>
        <family val="2"/>
        <scheme val="minor"/>
      </rPr>
      <t xml:space="preserve"> -- tab that shows the Rumensin label with the confinement cattle and beef cow sections highlighted.</t>
    </r>
  </si>
  <si>
    <t>Check version number above and verify that you have the most current version of the calculator.</t>
  </si>
  <si>
    <t>D4</t>
  </si>
  <si>
    <t>D5</t>
  </si>
  <si>
    <t>Cells with blue shading and blue font are user-provided inputs that can be changed -- all other values are calculated and</t>
  </si>
  <si>
    <t>they cannot be changed directly (i.e., they only change as inputs impacting them are entered/modified).</t>
  </si>
  <si>
    <t>Rumensin inclusion rate, mg/lb -- enter the Rumensin inclusion rate of the supplement as mg/lb.</t>
  </si>
  <si>
    <t>Cost of supplement with Rumensin -- enter the cost of supplement that includes Rumensin as $/ton.</t>
  </si>
  <si>
    <t>Cost of supplement without Rumensin -- enter the cost of supplement that excludes Rumensin as $/ton.</t>
  </si>
  <si>
    <t>It is assumed that the two supplements are identical with the exception of Rumensin and thus cost difference is due to Rumensin.</t>
  </si>
  <si>
    <t>D9</t>
  </si>
  <si>
    <t>Total cows in herd -- enter the two number of cows that are being fed.</t>
  </si>
  <si>
    <t xml:space="preserve">Number of days cows are fed -- enter the total number of days cows are being fed. </t>
  </si>
  <si>
    <t>D13-17</t>
  </si>
  <si>
    <t>E13-17</t>
  </si>
  <si>
    <t>Feedstuffs fed</t>
  </si>
  <si>
    <t>NOTE: Rumensin label is for 50-200 mg/hd/d.</t>
  </si>
  <si>
    <t>Based on the supplement feeding rate (lb/hd/d) and the Rumensin inclusion rate (mg/lb) in the supplement, a Rumensin dose</t>
  </si>
  <si>
    <t>(mg/hd/d) is calculated [cell F19].  If the calculated Rumensin dose is off-label, the Supplment feeding rate will not be accepted.</t>
  </si>
  <si>
    <t>Expected feed savings, % -- This value is based upon 4-trial research results and the Rumensin dose (mg/hd/d) fed.  This percentage</t>
  </si>
  <si>
    <t>B13-16</t>
  </si>
  <si>
    <t>Name/description -- enter the name of up to 4 different feedstuffs fed, excluding the supplement.  Mineral and supplement</t>
  </si>
  <si>
    <t>feedstuffs on rows 17 and 18 cannot be changed.</t>
  </si>
  <si>
    <t>Cost -- enter the cost per ton (as fed) of the different feedstuffs, including mineral but excluding the supplement.</t>
  </si>
  <si>
    <t>Rate -- enter the average lb/hd/day fed (as-fed) of the different feedstuffs, including both mineral and supplement.</t>
  </si>
  <si>
    <t>If a feedstuff is fed for only a part of the total time, adjust the daily amount to reflect the total number of days in the feeding period.</t>
  </si>
  <si>
    <t>feed savings is applied to the top four feedstuffs entered (assumption is that there are no feed savings on mineral or supplement).</t>
  </si>
  <si>
    <t>L13-17</t>
  </si>
  <si>
    <t>Adjustments to feed savings -- if the expected feed savings, based on mg/hd/d, is considered too high for a particular feedstuff, it</t>
  </si>
  <si>
    <t>can be reduced by entering a value less than 100% in these cells.  For example, at 200 mg/hd/d the expected feed savings are 10.8%,</t>
  </si>
  <si>
    <t>NOTE: Values in cells L13-17 should be 100%, as that is consistent with research results, unless there is good reason to change them.</t>
  </si>
  <si>
    <t>F23</t>
  </si>
  <si>
    <t>Net Return to Rumensin</t>
  </si>
  <si>
    <t>(per head)</t>
  </si>
  <si>
    <t>(herd total)</t>
  </si>
  <si>
    <t xml:space="preserve">Net Return to Rumensin -- calculated value showing the net return to Rumensin, which reflects the feed savings and includes the </t>
  </si>
  <si>
    <t>cost of the Rumensin.  Value in cell I23 reflects the net return for the total herd.</t>
  </si>
  <si>
    <t>Benefit | Cost Ratio of Rumensin (ROI)**</t>
  </si>
  <si>
    <t>Benefit|Cost Ratio of Rumensin -- calculated as (Feed savings + Rumensin cost)/Rumensin cost.  A B|C of 1 implies a breakeven.</t>
  </si>
  <si>
    <t>ROI -- calculated value showing the percentage return on the Rumensin investment (net benefit / Rumensin investment).</t>
  </si>
  <si>
    <t>F24</t>
  </si>
  <si>
    <t>G24</t>
  </si>
  <si>
    <t>savings, lbs</t>
  </si>
  <si>
    <t>savings, tons</t>
  </si>
  <si>
    <t>** Dollars of gross benefit per dollar invested in Rumensin, B|C of 1 implies a breakeven.  ROI = Net benefit / Rumensin Investment.</t>
  </si>
  <si>
    <t>G3</t>
  </si>
  <si>
    <t>Method -- Input to choose which research/reference to use for impact Rumensin has on feed efficiency (DMI/ADG).</t>
  </si>
  <si>
    <t>Note:  It is suggested to use Method 3, i.e., Duffield meta analysis reference, as this is based on the largest number of studies.</t>
  </si>
  <si>
    <t>G4</t>
  </si>
  <si>
    <r>
      <rPr>
        <b/>
        <sz val="11"/>
        <color theme="1"/>
        <rFont val="Calibri"/>
        <family val="2"/>
        <scheme val="minor"/>
      </rPr>
      <t>Feedlot</t>
    </r>
    <r>
      <rPr>
        <sz val="11"/>
        <color theme="1"/>
        <rFont val="Calibri"/>
        <family val="2"/>
        <scheme val="minor"/>
      </rPr>
      <t xml:space="preserve"> -- tab where economic impacts of various Rumensin doses can be compared for feedlot cattle</t>
    </r>
  </si>
  <si>
    <r>
      <rPr>
        <b/>
        <sz val="11"/>
        <color theme="1"/>
        <rFont val="Calibri"/>
        <family val="2"/>
        <scheme val="minor"/>
      </rPr>
      <t>Cow-Calf</t>
    </r>
    <r>
      <rPr>
        <sz val="11"/>
        <color theme="1"/>
        <rFont val="Calibri"/>
        <family val="2"/>
        <scheme val="minor"/>
      </rPr>
      <t xml:space="preserve"> -- tab where economic impacts of various Rumensin doses can be compared for beef cow-calf</t>
    </r>
  </si>
  <si>
    <t>G5</t>
  </si>
  <si>
    <t>G6</t>
  </si>
  <si>
    <t>G7</t>
  </si>
  <si>
    <t>G8</t>
  </si>
  <si>
    <t>Days on feed -- Enter the expected days on feed for the base situtation.</t>
  </si>
  <si>
    <t>Dry-matter intake -- Enter the average dry-matter intake for the base situation as lb/hd/d.</t>
  </si>
  <si>
    <t>Average daily gain -- Enter the expected average daily gain for the base situation as lb/hd/d.</t>
  </si>
  <si>
    <t>Ration cost -- Enter the ration cost for the base scenario, including cost of Rumensin if fed in base scenario.</t>
  </si>
  <si>
    <t>G9</t>
  </si>
  <si>
    <t>Feed cost (excludes Rumensin), $/lb DM</t>
  </si>
  <si>
    <t>Feed cost -- calculated value for the cost per lb of dry-matter feed, excluding Rumensin</t>
  </si>
  <si>
    <t>G10</t>
  </si>
  <si>
    <t>Cattle fed per year -- Enter the total number of cattle fed and marketed per year.</t>
  </si>
  <si>
    <t>if the value in L13 is modified to 50%, the feedstuff on that row will only show a 5.4% feed savings (50% x 10.8%).</t>
  </si>
  <si>
    <t>Days</t>
  </si>
  <si>
    <t>Beginning value, $/cwt</t>
  </si>
  <si>
    <t>Beginning value, $/hd</t>
  </si>
  <si>
    <t>Total gain, lb/hd</t>
  </si>
  <si>
    <t>Ending value, $/cwt</t>
  </si>
  <si>
    <t>Ending value, $/hd</t>
  </si>
  <si>
    <t>Alternative</t>
  </si>
  <si>
    <t>Price slide, $/cwt</t>
  </si>
  <si>
    <t>Difference</t>
  </si>
  <si>
    <t>Steers</t>
  </si>
  <si>
    <t>Heifers</t>
  </si>
  <si>
    <t>Estimate of the Value of Incremental Gain</t>
  </si>
  <si>
    <t>Cost of alternative, $/hd</t>
  </si>
  <si>
    <t>Weight</t>
  </si>
  <si>
    <t>Weight squared</t>
  </si>
  <si>
    <t>Steer</t>
  </si>
  <si>
    <t>Heifer</t>
  </si>
  <si>
    <t>Predicted price base</t>
  </si>
  <si>
    <t>Predicted price alternative</t>
  </si>
  <si>
    <t>xxx</t>
  </si>
  <si>
    <t>Weight range =&gt;</t>
  </si>
  <si>
    <t>Wt</t>
  </si>
  <si>
    <t>Wt^2</t>
  </si>
  <si>
    <t>Average</t>
  </si>
  <si>
    <t>Min</t>
  </si>
  <si>
    <t>Max</t>
  </si>
  <si>
    <t>Count</t>
  </si>
  <si>
    <t>Mo-Yr</t>
  </si>
  <si>
    <t>Month</t>
  </si>
  <si>
    <t>Year</t>
  </si>
  <si>
    <t>Y=1,N=0</t>
  </si>
  <si>
    <t>1/92-8/19</t>
  </si>
  <si>
    <t>Cond avg</t>
  </si>
  <si>
    <t>Regression results from various time periods</t>
  </si>
  <si>
    <t>Use in analysis =&gt;</t>
  </si>
  <si>
    <t>Gross margin, $/hd</t>
  </si>
  <si>
    <t>1/16-8/19</t>
  </si>
  <si>
    <t>Sex of animal (Steer or Heifer)</t>
  </si>
  <si>
    <t>User-defined price slide (to override regression-based value)</t>
  </si>
  <si>
    <t>Estimated price slide, $/cwt</t>
  </si>
  <si>
    <t>Absolute price difference</t>
  </si>
  <si>
    <t>Relative price difference</t>
  </si>
  <si>
    <t>(Enter value here to override regression-based price slide)</t>
  </si>
  <si>
    <t>Regression-based price slide (historical data from Western KS)</t>
  </si>
  <si>
    <t>User-defined price slide, $/cwt</t>
  </si>
  <si>
    <t>User-defined Conditional Average</t>
  </si>
  <si>
    <t>Beginning weight, lb/hd</t>
  </si>
  <si>
    <t>Average daily gain, lb</t>
  </si>
  <si>
    <t>Ending weight, lb/hd</t>
  </si>
  <si>
    <t xml:space="preserve">* Dollars of gross benefit per dollar invested, B|C of 1 implies a breakeven.  </t>
  </si>
  <si>
    <t xml:space="preserve">   ROI = Net benefit / Investment.</t>
  </si>
  <si>
    <t>Benefit | Cost ratio (ROI)*</t>
  </si>
  <si>
    <t>&lt;= Adjustment to research-based factor</t>
  </si>
  <si>
    <t>Cost of Rumensin 90 (90.7 g/lb)</t>
  </si>
  <si>
    <t>Unit for cost: 1=$/25 kg bag, 2=$/100 mg =&gt;</t>
  </si>
  <si>
    <t>F8</t>
  </si>
  <si>
    <t>Unit for Rumensin cost -- Enter a "1" if Rumensin cost is entered as $/25 kg bag or "2" if Rumensin cost is entered as $/100 mg.</t>
  </si>
  <si>
    <t>Rumensin cost -- Enter the cost of Rumensin 90 as either $/bag or $/100 mg.</t>
  </si>
  <si>
    <t>G11</t>
  </si>
  <si>
    <t>Rumensin cost per 100 mg</t>
  </si>
  <si>
    <t>C14-G14</t>
  </si>
  <si>
    <t>Rumensin dose -- Enter Rumensin dose as g/ton, C14 (Base) can be 0, all other values need to at label rate (5-40 g/ton)</t>
  </si>
  <si>
    <t>Feed Efficiency factors for various studies</t>
  </si>
  <si>
    <t>Data to include in conditional average</t>
  </si>
  <si>
    <t>Enter a "1" to include and a "0" to exclude</t>
  </si>
  <si>
    <t>Change in Rumensin Efficacy vs Expected Value</t>
  </si>
  <si>
    <t>Change in Rumensin price</t>
  </si>
  <si>
    <t>Increment for Change in Rumensin Efficacy</t>
  </si>
  <si>
    <t>Increment for Change in Rumensin Price</t>
  </si>
  <si>
    <t>&lt;= Adjustment to Rumensin price</t>
  </si>
  <si>
    <t>&lt;= Adjustment to linear feed savings</t>
  </si>
  <si>
    <t>Feed Savings vs No Rum, $/hd</t>
  </si>
  <si>
    <t>Box</t>
  </si>
  <si>
    <t>D4 = None</t>
  </si>
  <si>
    <t>None</t>
  </si>
  <si>
    <t>B4 = Box (word "Box" is typed into cell but formatted with white font)</t>
  </si>
  <si>
    <t>1.  Meta Deads Out (DO) -- Elanco Rumensin Meta 11-Trial Summary of Large Pen Studies (9 studies beef cattle and 2 studies calf-fed Holsteins).</t>
  </si>
  <si>
    <t>2.  Meta Deads In (DI) -- Elanco Rumensin Meta 11-Trial Summary of Large Pen Studies (9 studies beef cattle and 2 studies calf-fed Holsteins).</t>
  </si>
  <si>
    <t>.</t>
  </si>
  <si>
    <t>O2</t>
  </si>
  <si>
    <t>By typing the word "Elanco" in this cell, a figure showing the economics as efficacy is displayed.</t>
  </si>
  <si>
    <t>(when any value/text other than Elanco is in this cell, this figure is not displayed)</t>
  </si>
  <si>
    <t>By typing the word "Elanco" in this cell, figures showing the economics as efficacy are displayed.</t>
  </si>
  <si>
    <t>(when any value/text other than Elanco is in this cell, these figures are not displayed)</t>
  </si>
  <si>
    <t>I2</t>
  </si>
  <si>
    <t xml:space="preserve"> </t>
  </si>
</sst>
</file>

<file path=xl/styles.xml><?xml version="1.0" encoding="utf-8"?>
<styleSheet xmlns="http://schemas.openxmlformats.org/spreadsheetml/2006/main">
  <numFmts count="12">
    <numFmt numFmtId="164" formatCode="&quot;$&quot;#,##0.00"/>
    <numFmt numFmtId="165" formatCode="&quot;$&quot;#,##0"/>
    <numFmt numFmtId="166" formatCode="&quot;$&quot;#,##0.000"/>
    <numFmt numFmtId="167" formatCode="0.000"/>
    <numFmt numFmtId="168" formatCode="0.0"/>
    <numFmt numFmtId="169" formatCode="0.00000"/>
    <numFmt numFmtId="170" formatCode="&quot;$&quot;#,##0.0000"/>
    <numFmt numFmtId="171" formatCode="&quot;$&quot;#,##0.00000"/>
    <numFmt numFmtId="172" formatCode="0.0%"/>
    <numFmt numFmtId="173" formatCode="0.0000"/>
    <numFmt numFmtId="174" formatCode="[$-409]mmm\-yy;@"/>
    <numFmt numFmtId="175" formatCode="#,##0.0000"/>
  </numFmts>
  <fonts count="33">
    <font>
      <sz val="11"/>
      <color theme="1"/>
      <name val="Calibri"/>
      <family val="2"/>
      <scheme val="minor"/>
    </font>
    <font>
      <sz val="11"/>
      <color theme="1"/>
      <name val="Calibri"/>
      <family val="2"/>
      <scheme val="minor"/>
    </font>
    <font>
      <sz val="11"/>
      <color rgb="FF0000FF"/>
      <name val="Calibri"/>
      <family val="2"/>
      <scheme val="minor"/>
    </font>
    <font>
      <sz val="10"/>
      <name val="Arial"/>
      <family val="2"/>
    </font>
    <font>
      <sz val="11"/>
      <name val="Calibri"/>
      <family val="2"/>
      <scheme val="minor"/>
    </font>
    <font>
      <sz val="10"/>
      <name val="Arial"/>
      <family val="2"/>
    </font>
    <font>
      <b/>
      <sz val="12"/>
      <color theme="1"/>
      <name val="Calibri"/>
      <family val="2"/>
      <scheme val="minor"/>
    </font>
    <font>
      <sz val="12"/>
      <color theme="1"/>
      <name val="Calibri"/>
      <family val="2"/>
      <scheme val="minor"/>
    </font>
    <font>
      <sz val="10"/>
      <color theme="1"/>
      <name val="Calibri"/>
      <family val="2"/>
      <scheme val="minor"/>
    </font>
    <font>
      <b/>
      <sz val="11"/>
      <color theme="1"/>
      <name val="Calibri"/>
      <family val="2"/>
      <scheme val="minor"/>
    </font>
    <font>
      <b/>
      <sz val="11"/>
      <color rgb="FFFF0000"/>
      <name val="Calibri"/>
      <family val="2"/>
      <scheme val="minor"/>
    </font>
    <font>
      <sz val="9"/>
      <color indexed="81"/>
      <name val="Tahoma"/>
      <family val="2"/>
    </font>
    <font>
      <sz val="13"/>
      <color theme="1"/>
      <name val="Calibri"/>
      <family val="2"/>
      <scheme val="minor"/>
    </font>
    <font>
      <sz val="13"/>
      <name val="Calibri"/>
      <family val="2"/>
      <scheme val="minor"/>
    </font>
    <font>
      <b/>
      <sz val="13"/>
      <color rgb="FFFF0000"/>
      <name val="Calibri"/>
      <family val="2"/>
      <scheme val="minor"/>
    </font>
    <font>
      <b/>
      <sz val="13"/>
      <color theme="1"/>
      <name val="Calibri"/>
      <family val="2"/>
      <scheme val="minor"/>
    </font>
    <font>
      <b/>
      <sz val="11"/>
      <name val="Calibri"/>
      <family val="2"/>
      <scheme val="minor"/>
    </font>
    <font>
      <sz val="12"/>
      <color rgb="FF0000FF"/>
      <name val="Calibri"/>
      <family val="2"/>
      <scheme val="minor"/>
    </font>
    <font>
      <b/>
      <sz val="11.75"/>
      <color theme="1"/>
      <name val="Calibri"/>
      <family val="2"/>
      <scheme val="minor"/>
    </font>
    <font>
      <sz val="11"/>
      <color rgb="FFC00000"/>
      <name val="Calibri"/>
      <family val="2"/>
      <scheme val="minor"/>
    </font>
    <font>
      <sz val="10"/>
      <color rgb="FF1F497D"/>
      <name val="Calibri"/>
      <family val="2"/>
    </font>
    <font>
      <sz val="10"/>
      <color rgb="FF1F497D"/>
      <name val="Calibri"/>
      <family val="2"/>
      <scheme val="minor"/>
    </font>
    <font>
      <sz val="10"/>
      <color rgb="FF555555"/>
      <name val="Calibri"/>
      <family val="2"/>
      <scheme val="minor"/>
    </font>
    <font>
      <sz val="10"/>
      <name val="Calibri"/>
      <family val="2"/>
      <scheme val="minor"/>
    </font>
    <font>
      <sz val="10"/>
      <name val="Calibri"/>
      <family val="2"/>
    </font>
    <font>
      <b/>
      <sz val="9"/>
      <color indexed="81"/>
      <name val="Tahoma"/>
      <family val="2"/>
    </font>
    <font>
      <b/>
      <sz val="10"/>
      <color theme="1"/>
      <name val="Calibri"/>
      <family val="2"/>
      <scheme val="minor"/>
    </font>
    <font>
      <b/>
      <sz val="10"/>
      <name val="Calibri"/>
      <family val="2"/>
      <scheme val="minor"/>
    </font>
    <font>
      <sz val="11"/>
      <color theme="0"/>
      <name val="Calibri"/>
      <family val="2"/>
      <scheme val="minor"/>
    </font>
    <font>
      <sz val="12"/>
      <name val="Calibri"/>
      <family val="2"/>
      <scheme val="minor"/>
    </font>
    <font>
      <sz val="11"/>
      <color theme="0" tint="-0.249977111117893"/>
      <name val="Calibri"/>
      <family val="2"/>
      <scheme val="minor"/>
    </font>
    <font>
      <sz val="13"/>
      <color theme="0"/>
      <name val="Calibri"/>
      <family val="2"/>
      <scheme val="minor"/>
    </font>
    <font>
      <sz val="11"/>
      <color theme="4" tint="0.59999389629810485"/>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FFB87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59999389629810485"/>
        <bgColor indexed="64"/>
      </patternFill>
    </fill>
    <fill>
      <patternFill patternType="solid">
        <fgColor theme="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s>
  <borders count="58">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style="thin">
        <color theme="0" tint="-0.24994659260841701"/>
      </left>
      <right style="thin">
        <color theme="0" tint="-0.24994659260841701"/>
      </right>
      <top style="thin">
        <color auto="1"/>
      </top>
      <bottom style="medium">
        <color auto="1"/>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medium">
        <color auto="1"/>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theme="0" tint="-0.34998626667073579"/>
      </left>
      <right/>
      <top style="thin">
        <color theme="0" tint="-0.34998626667073579"/>
      </top>
      <bottom style="thin">
        <color auto="1"/>
      </bottom>
      <diagonal/>
    </border>
    <border>
      <left style="thin">
        <color auto="1"/>
      </left>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auto="1"/>
      </left>
      <right/>
      <top style="thin">
        <color theme="0" tint="-0.34998626667073579"/>
      </top>
      <bottom/>
      <diagonal/>
    </border>
    <border>
      <left style="thin">
        <color auto="1"/>
      </left>
      <right/>
      <top/>
      <bottom style="medium">
        <color auto="1"/>
      </bottom>
      <diagonal/>
    </border>
    <border>
      <left style="thin">
        <color theme="0" tint="-0.34998626667073579"/>
      </left>
      <right/>
      <top style="thin">
        <color auto="1"/>
      </top>
      <bottom style="thin">
        <color theme="0" tint="-0.34998626667073579"/>
      </bottom>
      <diagonal/>
    </border>
    <border>
      <left/>
      <right style="thin">
        <color auto="1"/>
      </right>
      <top style="thin">
        <color auto="1"/>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auto="1"/>
      </top>
      <bottom style="thin">
        <color theme="0" tint="-0.34998626667073579"/>
      </bottom>
      <diagonal/>
    </border>
    <border>
      <left/>
      <right/>
      <top/>
      <bottom style="thin">
        <color theme="0" tint="-0.34998626667073579"/>
      </bottom>
      <diagonal/>
    </border>
    <border>
      <left style="thin">
        <color theme="0" tint="-0.24994659260841701"/>
      </left>
      <right/>
      <top style="thin">
        <color auto="1"/>
      </top>
      <bottom style="medium">
        <color auto="1"/>
      </bottom>
      <diagonal/>
    </border>
    <border>
      <left/>
      <right/>
      <top style="thin">
        <color theme="0" tint="-0.499984740745262"/>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499984740745262"/>
      </top>
      <bottom style="thin">
        <color auto="1"/>
      </bottom>
      <diagonal/>
    </border>
    <border>
      <left style="thin">
        <color theme="0" tint="-0.24994659260841701"/>
      </left>
      <right/>
      <top style="thin">
        <color theme="0" tint="-0.499984740745262"/>
      </top>
      <bottom style="thin">
        <color auto="1"/>
      </bottom>
      <diagonal/>
    </border>
    <border>
      <left/>
      <right/>
      <top style="thin">
        <color auto="1"/>
      </top>
      <bottom style="thin">
        <color auto="1"/>
      </bottom>
      <diagonal/>
    </border>
    <border>
      <left/>
      <right/>
      <top style="thin">
        <color theme="0" tint="-0.24994659260841701"/>
      </top>
      <bottom style="thin">
        <color auto="1"/>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top style="thin">
        <color auto="1"/>
      </top>
      <bottom style="thin">
        <color theme="0" tint="-0.24994659260841701"/>
      </bottom>
      <diagonal/>
    </border>
    <border>
      <left/>
      <right/>
      <top style="thin">
        <color auto="1"/>
      </top>
      <bottom style="thin">
        <color theme="0" tint="-0.24994659260841701"/>
      </bottom>
      <diagonal/>
    </border>
    <border>
      <left style="thin">
        <color theme="0" tint="-0.24994659260841701"/>
      </left>
      <right style="thin">
        <color theme="0" tint="-0.24994659260841701"/>
      </right>
      <top style="medium">
        <color auto="1"/>
      </top>
      <bottom/>
      <diagonal/>
    </border>
    <border>
      <left style="thin">
        <color theme="0" tint="-0.24994659260841701"/>
      </left>
      <right style="thin">
        <color theme="0" tint="-0.24994659260841701"/>
      </right>
      <top/>
      <bottom style="medium">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top style="thin">
        <color auto="1"/>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top style="thin">
        <color auto="1"/>
      </top>
      <bottom style="thin">
        <color auto="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s>
  <cellStyleXfs count="7">
    <xf numFmtId="0" fontId="0" fillId="0" borderId="0"/>
    <xf numFmtId="9" fontId="1" fillId="0" borderId="0" applyFont="0" applyFill="0" applyBorder="0" applyAlignment="0" applyProtection="0"/>
    <xf numFmtId="0" fontId="3" fillId="0" borderId="0"/>
    <xf numFmtId="0" fontId="1" fillId="0" borderId="0"/>
    <xf numFmtId="0" fontId="5" fillId="0" borderId="0"/>
    <xf numFmtId="0" fontId="5" fillId="0" borderId="0"/>
    <xf numFmtId="9" fontId="5" fillId="0" borderId="0" applyFont="0" applyFill="0" applyBorder="0" applyAlignment="0" applyProtection="0"/>
  </cellStyleXfs>
  <cellXfs count="422">
    <xf numFmtId="0" fontId="0" fillId="0" borderId="0" xfId="0"/>
    <xf numFmtId="0" fontId="0" fillId="0" borderId="0" xfId="0" applyFill="1"/>
    <xf numFmtId="0" fontId="2" fillId="0" borderId="0" xfId="0" applyFont="1" applyAlignment="1" applyProtection="1">
      <alignment horizontal="right" indent="1"/>
      <protection locked="0"/>
    </xf>
    <xf numFmtId="0" fontId="0" fillId="0" borderId="0" xfId="0" applyProtection="1"/>
    <xf numFmtId="0" fontId="4" fillId="0" borderId="0" xfId="0" applyFont="1" applyProtection="1"/>
    <xf numFmtId="0" fontId="4" fillId="0" borderId="0" xfId="0" applyFont="1" applyBorder="1" applyProtection="1"/>
    <xf numFmtId="0" fontId="7" fillId="0" borderId="6" xfId="0" applyFont="1" applyBorder="1" applyProtection="1"/>
    <xf numFmtId="0" fontId="10" fillId="0" borderId="0" xfId="0" applyFont="1" applyBorder="1" applyProtection="1"/>
    <xf numFmtId="0" fontId="0" fillId="0" borderId="0" xfId="0" applyFont="1" applyBorder="1" applyProtection="1"/>
    <xf numFmtId="0" fontId="0" fillId="0" borderId="0" xfId="0" applyFont="1" applyBorder="1" applyAlignment="1" applyProtection="1">
      <alignment horizontal="centerContinuous"/>
    </xf>
    <xf numFmtId="0" fontId="0" fillId="0" borderId="2" xfId="0" applyFont="1" applyBorder="1" applyProtection="1"/>
    <xf numFmtId="0" fontId="4" fillId="0" borderId="2" xfId="0" applyFont="1" applyBorder="1" applyAlignment="1" applyProtection="1">
      <alignment horizontal="centerContinuous"/>
    </xf>
    <xf numFmtId="0" fontId="0" fillId="0" borderId="2" xfId="0" applyFont="1" applyBorder="1" applyAlignment="1" applyProtection="1">
      <alignment horizontal="centerContinuous"/>
    </xf>
    <xf numFmtId="0" fontId="4" fillId="0" borderId="1" xfId="0" applyFont="1" applyBorder="1" applyAlignment="1" applyProtection="1">
      <alignment horizontal="centerContinuous"/>
    </xf>
    <xf numFmtId="0" fontId="4" fillId="0" borderId="0" xfId="0" applyFont="1" applyBorder="1" applyAlignment="1" applyProtection="1">
      <alignment horizontal="center"/>
    </xf>
    <xf numFmtId="0" fontId="0" fillId="0" borderId="5" xfId="0" applyBorder="1" applyProtection="1"/>
    <xf numFmtId="0" fontId="0" fillId="0" borderId="5" xfId="0" applyBorder="1" applyAlignment="1" applyProtection="1">
      <alignment horizontal="center"/>
    </xf>
    <xf numFmtId="0" fontId="4" fillId="0" borderId="4" xfId="0" applyFont="1" applyBorder="1" applyAlignment="1" applyProtection="1">
      <alignment horizontal="center"/>
    </xf>
    <xf numFmtId="0" fontId="4" fillId="0" borderId="5" xfId="0" applyFont="1" applyBorder="1" applyAlignment="1" applyProtection="1">
      <alignment horizontal="center"/>
    </xf>
    <xf numFmtId="0" fontId="0" fillId="0" borderId="16" xfId="0" applyBorder="1" applyProtection="1"/>
    <xf numFmtId="0" fontId="0" fillId="0" borderId="20" xfId="0" applyBorder="1" applyAlignment="1" applyProtection="1">
      <alignment horizontal="center"/>
    </xf>
    <xf numFmtId="165" fontId="2" fillId="0" borderId="19" xfId="0" applyNumberFormat="1" applyFont="1" applyBorder="1" applyAlignment="1" applyProtection="1">
      <alignment horizontal="right" indent="1"/>
    </xf>
    <xf numFmtId="168" fontId="4" fillId="0" borderId="17" xfId="0" applyNumberFormat="1" applyFont="1" applyBorder="1" applyAlignment="1" applyProtection="1">
      <alignment horizontal="right" indent="1"/>
    </xf>
    <xf numFmtId="168" fontId="4" fillId="0" borderId="26" xfId="0" applyNumberFormat="1" applyFont="1" applyBorder="1" applyAlignment="1" applyProtection="1">
      <alignment horizontal="right" indent="1"/>
    </xf>
    <xf numFmtId="2" fontId="4" fillId="0" borderId="17" xfId="0" applyNumberFormat="1" applyFont="1" applyBorder="1" applyAlignment="1" applyProtection="1">
      <alignment horizontal="right" indent="1"/>
    </xf>
    <xf numFmtId="0" fontId="0" fillId="0" borderId="16" xfId="0" applyBorder="1" applyAlignment="1" applyProtection="1">
      <alignment horizontal="left" indent="1"/>
    </xf>
    <xf numFmtId="0" fontId="4" fillId="0" borderId="27" xfId="0" applyFont="1" applyBorder="1" applyAlignment="1" applyProtection="1">
      <alignment horizontal="right" indent="1"/>
    </xf>
    <xf numFmtId="0" fontId="4" fillId="0" borderId="20" xfId="0" applyFont="1" applyBorder="1" applyAlignment="1" applyProtection="1">
      <alignment horizontal="right" indent="1"/>
    </xf>
    <xf numFmtId="164" fontId="4" fillId="0" borderId="17" xfId="0" applyNumberFormat="1" applyFont="1" applyBorder="1" applyAlignment="1" applyProtection="1">
      <alignment horizontal="right" indent="1"/>
    </xf>
    <xf numFmtId="165" fontId="4" fillId="0" borderId="26" xfId="0" applyNumberFormat="1" applyFont="1" applyBorder="1" applyAlignment="1" applyProtection="1">
      <alignment horizontal="right" indent="1"/>
    </xf>
    <xf numFmtId="165" fontId="4" fillId="0" borderId="17" xfId="0" applyNumberFormat="1" applyFont="1" applyBorder="1" applyAlignment="1" applyProtection="1">
      <alignment horizontal="right" indent="1"/>
    </xf>
    <xf numFmtId="165" fontId="0" fillId="0" borderId="0" xfId="0" applyNumberFormat="1" applyAlignment="1" applyProtection="1">
      <alignment horizontal="right" indent="1"/>
    </xf>
    <xf numFmtId="164" fontId="0" fillId="0" borderId="17" xfId="0" applyNumberFormat="1" applyBorder="1" applyAlignment="1" applyProtection="1">
      <alignment horizontal="right" indent="1"/>
    </xf>
    <xf numFmtId="0" fontId="8" fillId="0" borderId="0" xfId="0" applyFont="1" applyAlignment="1" applyProtection="1">
      <alignment horizontal="left" indent="1"/>
    </xf>
    <xf numFmtId="171" fontId="0" fillId="0" borderId="0" xfId="0" applyNumberFormat="1" applyProtection="1"/>
    <xf numFmtId="164" fontId="0" fillId="0" borderId="0" xfId="0" applyNumberFormat="1" applyProtection="1"/>
    <xf numFmtId="0" fontId="9" fillId="3" borderId="1" xfId="0" applyFont="1" applyFill="1" applyBorder="1" applyAlignment="1" applyProtection="1">
      <alignment horizontal="left" indent="1"/>
    </xf>
    <xf numFmtId="0" fontId="0" fillId="3" borderId="2" xfId="0" applyFill="1" applyBorder="1" applyAlignment="1" applyProtection="1">
      <alignment horizontal="left" indent="1"/>
    </xf>
    <xf numFmtId="0" fontId="0" fillId="3" borderId="21" xfId="0" applyFill="1" applyBorder="1" applyAlignment="1" applyProtection="1">
      <alignment horizontal="left" indent="1"/>
    </xf>
    <xf numFmtId="0" fontId="9" fillId="3" borderId="3" xfId="0" applyFont="1" applyFill="1" applyBorder="1" applyAlignment="1" applyProtection="1">
      <alignment horizontal="left" indent="1"/>
    </xf>
    <xf numFmtId="0" fontId="0" fillId="3" borderId="0" xfId="0" applyFill="1" applyBorder="1" applyAlignment="1" applyProtection="1">
      <alignment horizontal="left" indent="1"/>
    </xf>
    <xf numFmtId="0" fontId="0" fillId="3" borderId="22" xfId="0" applyFill="1" applyBorder="1" applyAlignment="1" applyProtection="1">
      <alignment horizontal="left" indent="1"/>
    </xf>
    <xf numFmtId="0" fontId="0" fillId="3" borderId="3" xfId="0" applyFont="1" applyFill="1" applyBorder="1" applyAlignment="1" applyProtection="1">
      <alignment horizontal="left" indent="1"/>
    </xf>
    <xf numFmtId="0" fontId="0" fillId="0" borderId="20" xfId="0" applyBorder="1" applyProtection="1"/>
    <xf numFmtId="0" fontId="4" fillId="0" borderId="31" xfId="0" applyFont="1" applyBorder="1" applyAlignment="1" applyProtection="1">
      <alignment horizontal="right" indent="1"/>
    </xf>
    <xf numFmtId="166" fontId="4" fillId="0" borderId="25" xfId="0" applyNumberFormat="1" applyFont="1" applyBorder="1" applyAlignment="1" applyProtection="1">
      <alignment horizontal="centerContinuous"/>
    </xf>
    <xf numFmtId="170" fontId="4" fillId="0" borderId="18" xfId="0" applyNumberFormat="1" applyFont="1" applyBorder="1" applyAlignment="1" applyProtection="1">
      <alignment horizontal="centerContinuous"/>
    </xf>
    <xf numFmtId="0" fontId="12" fillId="0" borderId="0" xfId="0" applyFont="1" applyProtection="1"/>
    <xf numFmtId="0" fontId="12" fillId="0" borderId="0" xfId="0" applyFont="1" applyBorder="1" applyAlignment="1" applyProtection="1">
      <alignment horizontal="centerContinuous"/>
    </xf>
    <xf numFmtId="0" fontId="13" fillId="0" borderId="0" xfId="0" applyFont="1" applyProtection="1"/>
    <xf numFmtId="0" fontId="14" fillId="0" borderId="0" xfId="0" applyFont="1" applyBorder="1" applyProtection="1"/>
    <xf numFmtId="0" fontId="12" fillId="0" borderId="0" xfId="0" applyFont="1" applyAlignment="1" applyProtection="1">
      <alignment vertical="center"/>
    </xf>
    <xf numFmtId="0" fontId="13" fillId="0" borderId="0" xfId="0" applyFont="1" applyAlignment="1" applyProtection="1">
      <alignment vertical="center"/>
    </xf>
    <xf numFmtId="168" fontId="16" fillId="0" borderId="16" xfId="0" applyNumberFormat="1" applyFont="1" applyBorder="1" applyAlignment="1" applyProtection="1">
      <alignment horizontal="right" indent="1"/>
    </xf>
    <xf numFmtId="0" fontId="9" fillId="0" borderId="2" xfId="0" applyFont="1" applyBorder="1" applyAlignment="1" applyProtection="1">
      <alignment horizontal="center"/>
    </xf>
    <xf numFmtId="0" fontId="9" fillId="0" borderId="5" xfId="0" applyFont="1" applyBorder="1" applyAlignment="1" applyProtection="1">
      <alignment horizontal="center"/>
    </xf>
    <xf numFmtId="168" fontId="9" fillId="0" borderId="16" xfId="0" applyNumberFormat="1" applyFont="1" applyBorder="1" applyAlignment="1" applyProtection="1">
      <alignment horizontal="right" indent="1"/>
    </xf>
    <xf numFmtId="0" fontId="9" fillId="0" borderId="16" xfId="0" applyFont="1" applyBorder="1" applyAlignment="1" applyProtection="1">
      <alignment horizontal="right" indent="1"/>
    </xf>
    <xf numFmtId="0" fontId="9" fillId="0" borderId="20" xfId="0" applyFont="1" applyBorder="1" applyAlignment="1" applyProtection="1">
      <alignment horizontal="right" indent="1"/>
    </xf>
    <xf numFmtId="172" fontId="9" fillId="0" borderId="18" xfId="1" applyNumberFormat="1" applyFont="1" applyBorder="1" applyAlignment="1" applyProtection="1">
      <alignment horizontal="right" indent="1"/>
    </xf>
    <xf numFmtId="164" fontId="9" fillId="0" borderId="16" xfId="0" applyNumberFormat="1" applyFont="1" applyBorder="1" applyAlignment="1" applyProtection="1">
      <alignment horizontal="right" indent="1"/>
    </xf>
    <xf numFmtId="165" fontId="9" fillId="0" borderId="24" xfId="0" applyNumberFormat="1" applyFont="1" applyBorder="1" applyAlignment="1" applyProtection="1">
      <alignment horizontal="right" indent="1"/>
    </xf>
    <xf numFmtId="164" fontId="0" fillId="0" borderId="16" xfId="0" applyNumberFormat="1" applyFont="1" applyBorder="1" applyAlignment="1" applyProtection="1">
      <alignment horizontal="right" indent="1"/>
    </xf>
    <xf numFmtId="0" fontId="9" fillId="0" borderId="18" xfId="0" applyFont="1" applyBorder="1" applyProtection="1"/>
    <xf numFmtId="172" fontId="9" fillId="0" borderId="32" xfId="1" applyNumberFormat="1" applyFont="1" applyBorder="1" applyAlignment="1" applyProtection="1">
      <alignment horizontal="right" indent="1"/>
    </xf>
    <xf numFmtId="0" fontId="9" fillId="0" borderId="2" xfId="0" applyFont="1" applyBorder="1" applyProtection="1"/>
    <xf numFmtId="165" fontId="9" fillId="0" borderId="2" xfId="0" applyNumberFormat="1" applyFont="1" applyBorder="1" applyAlignment="1" applyProtection="1">
      <alignment horizontal="right" indent="1"/>
    </xf>
    <xf numFmtId="164" fontId="9" fillId="0" borderId="2" xfId="0" applyNumberFormat="1" applyFont="1" applyBorder="1" applyAlignment="1" applyProtection="1">
      <alignment horizontal="right" indent="1"/>
    </xf>
    <xf numFmtId="165" fontId="16" fillId="0" borderId="1" xfId="0" applyNumberFormat="1" applyFont="1" applyBorder="1" applyAlignment="1" applyProtection="1">
      <alignment horizontal="right" indent="1"/>
    </xf>
    <xf numFmtId="0" fontId="9" fillId="0" borderId="6" xfId="0" applyFont="1" applyBorder="1" applyAlignment="1" applyProtection="1">
      <alignment horizontal="left"/>
    </xf>
    <xf numFmtId="0" fontId="9" fillId="0" borderId="6" xfId="0" applyFont="1" applyBorder="1" applyProtection="1"/>
    <xf numFmtId="0" fontId="16" fillId="0" borderId="28" xfId="0" applyFont="1" applyBorder="1" applyProtection="1"/>
    <xf numFmtId="168" fontId="4" fillId="0" borderId="0" xfId="0" applyNumberFormat="1" applyFont="1" applyProtection="1"/>
    <xf numFmtId="0" fontId="7" fillId="0" borderId="0" xfId="0" applyFont="1" applyBorder="1" applyProtection="1"/>
    <xf numFmtId="0" fontId="7" fillId="0" borderId="0" xfId="0" applyFont="1" applyFill="1" applyBorder="1" applyAlignment="1" applyProtection="1">
      <alignment horizontal="left" indent="1"/>
    </xf>
    <xf numFmtId="0" fontId="6" fillId="0" borderId="0" xfId="0" applyFont="1" applyBorder="1" applyProtection="1"/>
    <xf numFmtId="0" fontId="16" fillId="0" borderId="2" xfId="0" applyFont="1" applyBorder="1" applyAlignment="1" applyProtection="1">
      <alignment horizontal="center"/>
    </xf>
    <xf numFmtId="0" fontId="15" fillId="0" borderId="6" xfId="0" applyFont="1" applyBorder="1" applyProtection="1"/>
    <xf numFmtId="0" fontId="7" fillId="0" borderId="20" xfId="0" applyFont="1" applyFill="1" applyBorder="1" applyAlignment="1" applyProtection="1">
      <alignment horizontal="left" indent="1"/>
    </xf>
    <xf numFmtId="0" fontId="7" fillId="0" borderId="20" xfId="0" applyFont="1" applyBorder="1" applyProtection="1"/>
    <xf numFmtId="0" fontId="7" fillId="0" borderId="33" xfId="0" applyFont="1" applyFill="1" applyBorder="1" applyAlignment="1" applyProtection="1">
      <alignment horizontal="left" indent="1"/>
    </xf>
    <xf numFmtId="0" fontId="7" fillId="0" borderId="33" xfId="0" applyFont="1" applyBorder="1" applyProtection="1"/>
    <xf numFmtId="0" fontId="12" fillId="4" borderId="15" xfId="0" applyFont="1" applyFill="1" applyBorder="1" applyAlignment="1" applyProtection="1">
      <alignment vertical="center"/>
    </xf>
    <xf numFmtId="0" fontId="13" fillId="4" borderId="15" xfId="0" applyFont="1" applyFill="1" applyBorder="1" applyAlignment="1" applyProtection="1">
      <alignment vertical="center"/>
    </xf>
    <xf numFmtId="0" fontId="0" fillId="0" borderId="0" xfId="0" applyAlignment="1" applyProtection="1">
      <alignment horizontal="left" indent="2"/>
    </xf>
    <xf numFmtId="0" fontId="18" fillId="5" borderId="6" xfId="0" quotePrefix="1" applyFont="1" applyFill="1" applyBorder="1" applyAlignment="1" applyProtection="1">
      <alignment horizontal="left" vertical="center" indent="2"/>
    </xf>
    <xf numFmtId="0" fontId="0" fillId="5" borderId="6" xfId="0" applyFill="1" applyBorder="1" applyAlignment="1" applyProtection="1">
      <alignment horizontal="left" indent="2"/>
    </xf>
    <xf numFmtId="0" fontId="4" fillId="5" borderId="6" xfId="0" applyFont="1" applyFill="1" applyBorder="1" applyAlignment="1" applyProtection="1">
      <alignment horizontal="left" indent="2"/>
    </xf>
    <xf numFmtId="0" fontId="4" fillId="0" borderId="0" xfId="0" applyFont="1" applyAlignment="1" applyProtection="1">
      <alignment horizontal="left" indent="2"/>
    </xf>
    <xf numFmtId="0" fontId="4" fillId="0" borderId="0" xfId="0" applyFont="1" applyBorder="1" applyAlignment="1" applyProtection="1">
      <alignment horizontal="left" indent="2"/>
    </xf>
    <xf numFmtId="0" fontId="18" fillId="4" borderId="15" xfId="0" quotePrefix="1" applyFont="1" applyFill="1" applyBorder="1" applyAlignment="1" applyProtection="1">
      <alignment horizontal="left" vertical="center" indent="1"/>
    </xf>
    <xf numFmtId="0" fontId="7" fillId="0" borderId="0" xfId="0" applyFont="1" applyProtection="1"/>
    <xf numFmtId="0" fontId="0" fillId="0" borderId="0" xfId="0" applyBorder="1" applyProtection="1"/>
    <xf numFmtId="0" fontId="0" fillId="0" borderId="0" xfId="0" applyAlignment="1" applyProtection="1">
      <alignment horizontal="right" indent="1"/>
    </xf>
    <xf numFmtId="0" fontId="0" fillId="0" borderId="0" xfId="0" applyBorder="1" applyAlignment="1" applyProtection="1">
      <alignment horizontal="right" indent="1"/>
    </xf>
    <xf numFmtId="0" fontId="0" fillId="0" borderId="5" xfId="0" applyBorder="1" applyAlignment="1" applyProtection="1">
      <alignment horizontal="right" indent="1"/>
    </xf>
    <xf numFmtId="167" fontId="0" fillId="0" borderId="0" xfId="0" applyNumberFormat="1" applyAlignment="1" applyProtection="1">
      <alignment horizontal="right" indent="1"/>
    </xf>
    <xf numFmtId="167" fontId="0" fillId="0" borderId="0" xfId="0" quotePrefix="1" applyNumberFormat="1" applyAlignment="1" applyProtection="1">
      <alignment horizontal="right" indent="1"/>
    </xf>
    <xf numFmtId="0" fontId="0" fillId="0" borderId="2" xfId="0" applyBorder="1" applyProtection="1"/>
    <xf numFmtId="0" fontId="0" fillId="0" borderId="2" xfId="0" applyBorder="1" applyAlignment="1" applyProtection="1">
      <alignment horizontal="right" indent="1"/>
    </xf>
    <xf numFmtId="2" fontId="4" fillId="0" borderId="0" xfId="0" applyNumberFormat="1" applyFont="1" applyAlignment="1" applyProtection="1">
      <alignment horizontal="right" indent="1"/>
    </xf>
    <xf numFmtId="2" fontId="4" fillId="0" borderId="9" xfId="0" applyNumberFormat="1" applyFont="1" applyBorder="1" applyAlignment="1" applyProtection="1">
      <alignment horizontal="right" indent="1"/>
    </xf>
    <xf numFmtId="0" fontId="0" fillId="0" borderId="11" xfId="0" applyBorder="1" applyProtection="1"/>
    <xf numFmtId="2" fontId="0" fillId="0" borderId="11" xfId="0" applyNumberFormat="1" applyBorder="1" applyAlignment="1" applyProtection="1">
      <alignment horizontal="right" indent="1"/>
    </xf>
    <xf numFmtId="2" fontId="0" fillId="0" borderId="12" xfId="0" applyNumberFormat="1" applyBorder="1" applyAlignment="1" applyProtection="1">
      <alignment horizontal="right" indent="1"/>
    </xf>
    <xf numFmtId="168" fontId="0" fillId="0" borderId="11" xfId="0" applyNumberFormat="1" applyBorder="1" applyAlignment="1" applyProtection="1">
      <alignment horizontal="right" indent="1"/>
    </xf>
    <xf numFmtId="168" fontId="0" fillId="0" borderId="12" xfId="0" applyNumberFormat="1" applyBorder="1" applyAlignment="1" applyProtection="1">
      <alignment horizontal="right" indent="1"/>
    </xf>
    <xf numFmtId="0" fontId="0" fillId="0" borderId="11" xfId="0" applyBorder="1" applyAlignment="1" applyProtection="1">
      <alignment horizontal="right" indent="1"/>
    </xf>
    <xf numFmtId="10" fontId="0" fillId="0" borderId="12" xfId="1" applyNumberFormat="1" applyFont="1" applyBorder="1" applyAlignment="1" applyProtection="1">
      <alignment horizontal="right" indent="1"/>
    </xf>
    <xf numFmtId="10" fontId="0" fillId="0" borderId="11" xfId="1" applyNumberFormat="1" applyFont="1" applyBorder="1" applyAlignment="1" applyProtection="1">
      <alignment horizontal="right" indent="1"/>
    </xf>
    <xf numFmtId="3" fontId="0" fillId="0" borderId="11" xfId="0" applyNumberFormat="1" applyBorder="1" applyAlignment="1" applyProtection="1">
      <alignment horizontal="right" indent="1"/>
    </xf>
    <xf numFmtId="3" fontId="0" fillId="0" borderId="12" xfId="0" applyNumberFormat="1" applyBorder="1" applyAlignment="1" applyProtection="1">
      <alignment horizontal="right" indent="1"/>
    </xf>
    <xf numFmtId="164" fontId="0" fillId="0" borderId="11" xfId="0" applyNumberFormat="1" applyBorder="1" applyAlignment="1" applyProtection="1">
      <alignment horizontal="right" indent="1"/>
    </xf>
    <xf numFmtId="164" fontId="0" fillId="0" borderId="12" xfId="0" applyNumberFormat="1" applyBorder="1" applyAlignment="1" applyProtection="1">
      <alignment horizontal="right" indent="1"/>
    </xf>
    <xf numFmtId="0" fontId="0" fillId="0" borderId="13" xfId="0" applyBorder="1" applyProtection="1"/>
    <xf numFmtId="0" fontId="0" fillId="0" borderId="14" xfId="0" applyBorder="1" applyAlignment="1" applyProtection="1">
      <alignment horizontal="right" indent="1"/>
    </xf>
    <xf numFmtId="0" fontId="0" fillId="0" borderId="11" xfId="0" applyBorder="1" applyAlignment="1" applyProtection="1">
      <alignment horizontal="left" indent="1"/>
    </xf>
    <xf numFmtId="0" fontId="0" fillId="0" borderId="0" xfId="0" applyAlignment="1" applyProtection="1">
      <alignment horizontal="left" indent="1"/>
    </xf>
    <xf numFmtId="164" fontId="0" fillId="0" borderId="0" xfId="0" applyNumberFormat="1" applyAlignment="1" applyProtection="1">
      <alignment horizontal="right" indent="1"/>
    </xf>
    <xf numFmtId="164" fontId="0" fillId="0" borderId="10" xfId="0" applyNumberFormat="1" applyBorder="1" applyAlignment="1" applyProtection="1">
      <alignment horizontal="right" indent="1"/>
    </xf>
    <xf numFmtId="0" fontId="0" fillId="0" borderId="13" xfId="0" applyBorder="1" applyAlignment="1" applyProtection="1">
      <alignment horizontal="left" indent="1"/>
    </xf>
    <xf numFmtId="164" fontId="0" fillId="0" borderId="13" xfId="0" applyNumberFormat="1" applyBorder="1" applyAlignment="1" applyProtection="1">
      <alignment horizontal="right" indent="1"/>
    </xf>
    <xf numFmtId="164" fontId="0" fillId="0" borderId="36" xfId="0" applyNumberFormat="1" applyBorder="1" applyAlignment="1" applyProtection="1">
      <alignment horizontal="right" indent="1"/>
    </xf>
    <xf numFmtId="164" fontId="0" fillId="0" borderId="37" xfId="0" applyNumberFormat="1" applyBorder="1" applyAlignment="1" applyProtection="1">
      <alignment horizontal="right" indent="1"/>
    </xf>
    <xf numFmtId="0" fontId="0" fillId="0" borderId="35" xfId="0" applyBorder="1" applyAlignment="1" applyProtection="1">
      <alignment horizontal="left"/>
    </xf>
    <xf numFmtId="164" fontId="0" fillId="0" borderId="35" xfId="0" applyNumberFormat="1" applyBorder="1" applyAlignment="1" applyProtection="1">
      <alignment horizontal="right" indent="1"/>
    </xf>
    <xf numFmtId="165" fontId="0" fillId="0" borderId="38" xfId="0" applyNumberFormat="1" applyBorder="1" applyAlignment="1" applyProtection="1">
      <alignment horizontal="right" indent="1"/>
    </xf>
    <xf numFmtId="165" fontId="0" fillId="0" borderId="39" xfId="0" applyNumberFormat="1" applyBorder="1" applyAlignment="1" applyProtection="1">
      <alignment horizontal="right" indent="1"/>
    </xf>
    <xf numFmtId="0" fontId="0" fillId="0" borderId="7" xfId="0" applyBorder="1" applyAlignment="1" applyProtection="1">
      <alignment horizontal="left"/>
    </xf>
    <xf numFmtId="0" fontId="0" fillId="0" borderId="7" xfId="0" applyBorder="1" applyAlignment="1" applyProtection="1">
      <alignment horizontal="right" indent="1"/>
    </xf>
    <xf numFmtId="4" fontId="0" fillId="0" borderId="8" xfId="0" applyNumberFormat="1" applyBorder="1" applyAlignment="1" applyProtection="1">
      <alignment horizontal="right" indent="1"/>
    </xf>
    <xf numFmtId="4" fontId="0" fillId="0" borderId="34" xfId="0" applyNumberFormat="1" applyBorder="1" applyAlignment="1" applyProtection="1">
      <alignment horizontal="right" indent="1"/>
    </xf>
    <xf numFmtId="0" fontId="9" fillId="0" borderId="0" xfId="0" applyFont="1" applyProtection="1"/>
    <xf numFmtId="0" fontId="0" fillId="3" borderId="3" xfId="0" applyFill="1" applyBorder="1" applyAlignment="1" applyProtection="1">
      <alignment horizontal="left" indent="1"/>
    </xf>
    <xf numFmtId="0" fontId="0" fillId="3" borderId="4" xfId="0" applyFill="1" applyBorder="1" applyAlignment="1" applyProtection="1">
      <alignment horizontal="left" indent="1"/>
    </xf>
    <xf numFmtId="0" fontId="0" fillId="3" borderId="5" xfId="0" applyFill="1" applyBorder="1" applyAlignment="1" applyProtection="1">
      <alignment horizontal="left" indent="1"/>
    </xf>
    <xf numFmtId="0" fontId="0" fillId="3" borderId="23" xfId="0" applyFill="1" applyBorder="1" applyAlignment="1" applyProtection="1">
      <alignment horizontal="left" indent="1"/>
    </xf>
    <xf numFmtId="0" fontId="0" fillId="8" borderId="0" xfId="0" applyFill="1" applyProtection="1"/>
    <xf numFmtId="0" fontId="0" fillId="0" borderId="0" xfId="0" applyFill="1" applyAlignment="1" applyProtection="1">
      <alignment horizontal="left" indent="1"/>
    </xf>
    <xf numFmtId="0" fontId="0" fillId="0" borderId="0" xfId="0" applyFill="1" applyProtection="1"/>
    <xf numFmtId="0" fontId="4" fillId="0" borderId="0" xfId="0" applyFont="1" applyFill="1" applyAlignment="1" applyProtection="1">
      <alignment horizontal="right" indent="1"/>
    </xf>
    <xf numFmtId="170" fontId="4" fillId="0" borderId="0" xfId="0" applyNumberFormat="1" applyFont="1" applyFill="1" applyAlignment="1" applyProtection="1">
      <alignment horizontal="right" indent="1"/>
    </xf>
    <xf numFmtId="0" fontId="0" fillId="7" borderId="1" xfId="0" applyFill="1" applyBorder="1" applyAlignment="1" applyProtection="1">
      <alignment horizontal="left" indent="1"/>
    </xf>
    <xf numFmtId="0" fontId="0" fillId="7" borderId="2" xfId="0" applyFill="1" applyBorder="1" applyAlignment="1" applyProtection="1">
      <alignment horizontal="center"/>
    </xf>
    <xf numFmtId="0" fontId="0" fillId="7" borderId="2" xfId="0" applyFill="1" applyBorder="1" applyProtection="1"/>
    <xf numFmtId="0" fontId="0" fillId="7" borderId="21" xfId="0" applyFill="1" applyBorder="1" applyProtection="1"/>
    <xf numFmtId="0" fontId="0" fillId="7" borderId="3" xfId="0" applyFill="1" applyBorder="1" applyAlignment="1" applyProtection="1">
      <alignment horizontal="left" indent="1"/>
    </xf>
    <xf numFmtId="0" fontId="0" fillId="7" borderId="0" xfId="0" applyFill="1" applyBorder="1" applyAlignment="1" applyProtection="1">
      <alignment horizontal="center"/>
    </xf>
    <xf numFmtId="0" fontId="0" fillId="7" borderId="0" xfId="0" applyFill="1" applyBorder="1" applyProtection="1"/>
    <xf numFmtId="169" fontId="0" fillId="7" borderId="0" xfId="0" applyNumberFormat="1" applyFill="1" applyBorder="1" applyAlignment="1" applyProtection="1">
      <alignment horizontal="center"/>
    </xf>
    <xf numFmtId="0" fontId="0" fillId="7" borderId="22" xfId="0" applyFill="1" applyBorder="1" applyProtection="1"/>
    <xf numFmtId="0" fontId="0" fillId="7" borderId="4" xfId="0" applyFill="1" applyBorder="1" applyAlignment="1" applyProtection="1">
      <alignment horizontal="left" indent="1"/>
    </xf>
    <xf numFmtId="0" fontId="0" fillId="7" borderId="5" xfId="0" applyFill="1" applyBorder="1" applyAlignment="1" applyProtection="1">
      <alignment horizontal="center"/>
    </xf>
    <xf numFmtId="0" fontId="0" fillId="7" borderId="5" xfId="0" applyFill="1" applyBorder="1" applyProtection="1"/>
    <xf numFmtId="0" fontId="0" fillId="7" borderId="23" xfId="0" applyFill="1" applyBorder="1" applyProtection="1"/>
    <xf numFmtId="169" fontId="19" fillId="7" borderId="2" xfId="0" applyNumberFormat="1" applyFont="1" applyFill="1" applyBorder="1" applyAlignment="1" applyProtection="1">
      <alignment horizontal="right" indent="1"/>
    </xf>
    <xf numFmtId="169" fontId="19" fillId="7" borderId="0" xfId="0" applyNumberFormat="1" applyFont="1" applyFill="1" applyBorder="1" applyAlignment="1" applyProtection="1">
      <alignment horizontal="right" indent="1"/>
    </xf>
    <xf numFmtId="169" fontId="19" fillId="7" borderId="5" xfId="0" applyNumberFormat="1" applyFont="1" applyFill="1" applyBorder="1" applyAlignment="1" applyProtection="1">
      <alignment horizontal="right" indent="1"/>
    </xf>
    <xf numFmtId="0" fontId="12" fillId="0" borderId="0" xfId="0" applyFont="1" applyBorder="1" applyProtection="1"/>
    <xf numFmtId="165" fontId="17" fillId="0" borderId="0" xfId="0" applyNumberFormat="1" applyFont="1" applyBorder="1" applyAlignment="1" applyProtection="1">
      <alignment horizontal="center"/>
    </xf>
    <xf numFmtId="0" fontId="0" fillId="0" borderId="0" xfId="0" applyAlignment="1" applyProtection="1">
      <alignment horizontal="right" vertical="center" indent="1"/>
    </xf>
    <xf numFmtId="0" fontId="16" fillId="0" borderId="0" xfId="0" applyFont="1" applyAlignment="1" applyProtection="1">
      <alignment horizontal="center"/>
    </xf>
    <xf numFmtId="0" fontId="8" fillId="0" borderId="0" xfId="0" applyFont="1" applyBorder="1" applyAlignment="1" applyProtection="1">
      <alignment horizontal="left" indent="1"/>
    </xf>
    <xf numFmtId="0" fontId="4" fillId="8" borderId="0" xfId="0" applyFont="1" applyFill="1" applyProtection="1"/>
    <xf numFmtId="0" fontId="4" fillId="8" borderId="0" xfId="0" applyFont="1" applyFill="1" applyBorder="1" applyProtection="1"/>
    <xf numFmtId="170" fontId="0" fillId="0" borderId="0" xfId="0" applyNumberFormat="1" applyAlignment="1" applyProtection="1">
      <alignment horizontal="right" indent="1"/>
    </xf>
    <xf numFmtId="165" fontId="4" fillId="0" borderId="0" xfId="0" applyNumberFormat="1" applyFont="1" applyFill="1" applyAlignment="1" applyProtection="1">
      <alignment horizontal="right" indent="1"/>
    </xf>
    <xf numFmtId="0" fontId="0" fillId="0" borderId="0" xfId="0" applyAlignment="1" applyProtection="1">
      <alignment horizontal="right"/>
    </xf>
    <xf numFmtId="0" fontId="0" fillId="0" borderId="0" xfId="0" applyAlignment="1" applyProtection="1">
      <alignment horizontal="center"/>
    </xf>
    <xf numFmtId="173" fontId="0" fillId="0" borderId="1" xfId="0" applyNumberFormat="1" applyBorder="1" applyAlignment="1" applyProtection="1">
      <alignment horizontal="right" indent="1"/>
    </xf>
    <xf numFmtId="173" fontId="0" fillId="0" borderId="2" xfId="0" applyNumberFormat="1" applyBorder="1" applyAlignment="1" applyProtection="1">
      <alignment horizontal="right" indent="1"/>
    </xf>
    <xf numFmtId="173" fontId="0" fillId="0" borderId="3" xfId="0" applyNumberFormat="1" applyBorder="1" applyAlignment="1" applyProtection="1">
      <alignment horizontal="right" indent="1"/>
    </xf>
    <xf numFmtId="173" fontId="0" fillId="0" borderId="0" xfId="0" applyNumberFormat="1" applyBorder="1" applyAlignment="1" applyProtection="1">
      <alignment horizontal="right" indent="1"/>
    </xf>
    <xf numFmtId="0" fontId="0" fillId="2" borderId="0" xfId="0" applyFill="1" applyBorder="1" applyAlignment="1" applyProtection="1">
      <alignment horizontal="right" indent="1"/>
    </xf>
    <xf numFmtId="2" fontId="0" fillId="2" borderId="0" xfId="0" applyNumberFormat="1" applyFill="1" applyBorder="1" applyAlignment="1" applyProtection="1">
      <alignment horizontal="right" indent="1"/>
    </xf>
    <xf numFmtId="167" fontId="0" fillId="0" borderId="3" xfId="0" applyNumberFormat="1" applyBorder="1" applyAlignment="1" applyProtection="1">
      <alignment horizontal="right" indent="1"/>
    </xf>
    <xf numFmtId="0" fontId="0" fillId="0" borderId="0" xfId="0" applyNumberFormat="1" applyBorder="1" applyAlignment="1" applyProtection="1">
      <alignment horizontal="right" indent="1"/>
    </xf>
    <xf numFmtId="0" fontId="0" fillId="2" borderId="5" xfId="0" applyFill="1" applyBorder="1" applyAlignment="1" applyProtection="1">
      <alignment horizontal="right" indent="1"/>
    </xf>
    <xf numFmtId="2" fontId="0" fillId="2" borderId="5" xfId="0" applyNumberFormat="1" applyFill="1" applyBorder="1" applyAlignment="1" applyProtection="1">
      <alignment horizontal="right" indent="1"/>
    </xf>
    <xf numFmtId="167" fontId="0" fillId="0" borderId="4" xfId="0" applyNumberFormat="1" applyBorder="1" applyAlignment="1" applyProtection="1">
      <alignment horizontal="right" indent="1"/>
    </xf>
    <xf numFmtId="173" fontId="0" fillId="0" borderId="5" xfId="0" applyNumberFormat="1" applyBorder="1" applyAlignment="1" applyProtection="1">
      <alignment horizontal="right" indent="1"/>
    </xf>
    <xf numFmtId="168" fontId="0" fillId="0" borderId="0" xfId="0" applyNumberFormat="1" applyAlignment="1" applyProtection="1">
      <alignment horizontal="right" indent="1"/>
    </xf>
    <xf numFmtId="0" fontId="20" fillId="0" borderId="0" xfId="0" applyFont="1" applyAlignment="1">
      <alignment vertical="center"/>
    </xf>
    <xf numFmtId="0" fontId="21" fillId="0" borderId="0" xfId="0" applyFont="1"/>
    <xf numFmtId="0" fontId="23" fillId="0" borderId="0" xfId="0" applyFont="1" applyAlignment="1" applyProtection="1">
      <alignment horizontal="right" indent="1"/>
    </xf>
    <xf numFmtId="0" fontId="24" fillId="0" borderId="0" xfId="0" applyFont="1" applyAlignment="1"/>
    <xf numFmtId="0" fontId="23" fillId="6" borderId="6" xfId="2" applyFont="1" applyFill="1" applyBorder="1" applyAlignment="1" applyProtection="1">
      <alignment horizontal="right"/>
    </xf>
    <xf numFmtId="165" fontId="17" fillId="9" borderId="20" xfId="0" applyNumberFormat="1" applyFont="1" applyFill="1" applyBorder="1" applyAlignment="1" applyProtection="1">
      <alignment horizontal="right" indent="1"/>
      <protection locked="0"/>
    </xf>
    <xf numFmtId="0" fontId="7" fillId="0" borderId="11" xfId="0" applyFont="1" applyFill="1" applyBorder="1" applyAlignment="1" applyProtection="1">
      <alignment horizontal="left" indent="1"/>
    </xf>
    <xf numFmtId="0" fontId="7" fillId="0" borderId="11" xfId="0" applyFont="1" applyBorder="1" applyProtection="1"/>
    <xf numFmtId="0" fontId="17" fillId="9" borderId="11" xfId="0" applyFont="1" applyFill="1" applyBorder="1" applyAlignment="1" applyProtection="1">
      <alignment horizontal="right" vertical="center" indent="1"/>
      <protection locked="0"/>
    </xf>
    <xf numFmtId="0" fontId="2" fillId="9" borderId="16" xfId="0" applyFont="1" applyFill="1" applyBorder="1" applyAlignment="1" applyProtection="1">
      <alignment horizontal="left" indent="1"/>
      <protection locked="0"/>
    </xf>
    <xf numFmtId="0" fontId="2" fillId="9" borderId="16" xfId="0" applyFont="1" applyFill="1" applyBorder="1" applyProtection="1">
      <protection locked="0"/>
    </xf>
    <xf numFmtId="165" fontId="2" fillId="9" borderId="19" xfId="0" applyNumberFormat="1" applyFont="1" applyFill="1" applyBorder="1" applyAlignment="1" applyProtection="1">
      <alignment horizontal="right" indent="1"/>
      <protection locked="0"/>
    </xf>
    <xf numFmtId="0" fontId="2" fillId="9" borderId="17" xfId="0" applyFont="1" applyFill="1" applyBorder="1" applyAlignment="1" applyProtection="1">
      <alignment horizontal="right" indent="1"/>
      <protection locked="0"/>
    </xf>
    <xf numFmtId="2" fontId="2" fillId="9" borderId="17" xfId="0" applyNumberFormat="1" applyFont="1" applyFill="1" applyBorder="1" applyAlignment="1" applyProtection="1">
      <alignment horizontal="right" indent="1"/>
      <protection locked="0"/>
    </xf>
    <xf numFmtId="0" fontId="2" fillId="0" borderId="33" xfId="0" applyFont="1" applyBorder="1"/>
    <xf numFmtId="0" fontId="0" fillId="0" borderId="18" xfId="0" applyBorder="1"/>
    <xf numFmtId="0" fontId="2" fillId="0" borderId="18" xfId="0" applyFont="1" applyBorder="1" applyAlignment="1" applyProtection="1">
      <alignment horizontal="right" indent="1"/>
    </xf>
    <xf numFmtId="9" fontId="2" fillId="9" borderId="16" xfId="1" applyFont="1" applyFill="1" applyBorder="1" applyAlignment="1" applyProtection="1">
      <alignment horizontal="right" indent="3"/>
      <protection locked="0"/>
    </xf>
    <xf numFmtId="0" fontId="4" fillId="0" borderId="0" xfId="0" applyFont="1" applyAlignment="1" applyProtection="1">
      <alignment horizontal="center"/>
    </xf>
    <xf numFmtId="172" fontId="4" fillId="0" borderId="16" xfId="0" applyNumberFormat="1" applyFont="1" applyBorder="1" applyAlignment="1" applyProtection="1">
      <alignment horizontal="right" indent="2"/>
    </xf>
    <xf numFmtId="14" fontId="19" fillId="0" borderId="0" xfId="0" applyNumberFormat="1" applyFont="1" applyAlignment="1" applyProtection="1">
      <alignment horizontal="left" indent="1"/>
    </xf>
    <xf numFmtId="164" fontId="2" fillId="9" borderId="0" xfId="0" applyNumberFormat="1" applyFont="1" applyFill="1" applyAlignment="1" applyProtection="1">
      <alignment horizontal="right" indent="1"/>
      <protection locked="0"/>
    </xf>
    <xf numFmtId="9" fontId="2" fillId="9" borderId="0" xfId="0" applyNumberFormat="1" applyFont="1" applyFill="1" applyAlignment="1" applyProtection="1">
      <alignment horizontal="right" indent="1"/>
      <protection locked="0"/>
    </xf>
    <xf numFmtId="0" fontId="9" fillId="5" borderId="0" xfId="0" applyFont="1" applyFill="1"/>
    <xf numFmtId="0" fontId="0" fillId="5" borderId="0" xfId="0" applyFill="1"/>
    <xf numFmtId="0" fontId="0" fillId="0" borderId="18" xfId="0" applyBorder="1" applyAlignment="1">
      <alignment horizontal="right" indent="1"/>
    </xf>
    <xf numFmtId="0" fontId="0" fillId="0" borderId="16" xfId="0" applyBorder="1"/>
    <xf numFmtId="0" fontId="0" fillId="0" borderId="0" xfId="0" applyAlignment="1">
      <alignment horizontal="right" indent="1"/>
    </xf>
    <xf numFmtId="0" fontId="0" fillId="5" borderId="0" xfId="0" applyFont="1" applyFill="1" applyAlignment="1">
      <alignment horizontal="left" indent="1"/>
    </xf>
    <xf numFmtId="0" fontId="2" fillId="0" borderId="18" xfId="0" applyFont="1" applyBorder="1" applyAlignment="1">
      <alignment horizontal="left" indent="1"/>
    </xf>
    <xf numFmtId="0" fontId="2" fillId="0" borderId="18" xfId="0" applyFont="1" applyBorder="1"/>
    <xf numFmtId="0" fontId="2" fillId="0" borderId="16" xfId="0" applyFont="1" applyBorder="1" applyAlignment="1">
      <alignment horizontal="left" indent="1"/>
    </xf>
    <xf numFmtId="0" fontId="2" fillId="0" borderId="16" xfId="0" applyFont="1" applyBorder="1"/>
    <xf numFmtId="0" fontId="0" fillId="0" borderId="0" xfId="0" applyBorder="1"/>
    <xf numFmtId="0" fontId="0" fillId="0" borderId="33" xfId="0" applyBorder="1" applyAlignment="1">
      <alignment horizontal="left" indent="1"/>
    </xf>
    <xf numFmtId="0" fontId="0" fillId="0" borderId="33" xfId="0" applyBorder="1"/>
    <xf numFmtId="0" fontId="2" fillId="0" borderId="20" xfId="0" applyFont="1" applyBorder="1" applyAlignment="1">
      <alignment horizontal="left" indent="1"/>
    </xf>
    <xf numFmtId="0" fontId="2" fillId="0" borderId="20" xfId="0" applyFont="1" applyBorder="1"/>
    <xf numFmtId="0" fontId="0" fillId="0" borderId="20" xfId="0" applyBorder="1"/>
    <xf numFmtId="0" fontId="0" fillId="0" borderId="0" xfId="0" applyBorder="1" applyAlignment="1">
      <alignment horizontal="left" indent="1"/>
    </xf>
    <xf numFmtId="0" fontId="9" fillId="0" borderId="0" xfId="0" applyFont="1" applyBorder="1"/>
    <xf numFmtId="0" fontId="0" fillId="0" borderId="20" xfId="0" applyBorder="1" applyAlignment="1">
      <alignment horizontal="left" indent="1"/>
    </xf>
    <xf numFmtId="0" fontId="2" fillId="0" borderId="0" xfId="0" applyFont="1" applyBorder="1"/>
    <xf numFmtId="0" fontId="4" fillId="0" borderId="33" xfId="0" applyFont="1" applyBorder="1"/>
    <xf numFmtId="0" fontId="0" fillId="0" borderId="0" xfId="0" applyFont="1"/>
    <xf numFmtId="0" fontId="0" fillId="5" borderId="0" xfId="0" applyFont="1" applyFill="1"/>
    <xf numFmtId="0" fontId="0" fillId="5" borderId="40" xfId="0" applyFont="1" applyFill="1" applyBorder="1" applyAlignment="1">
      <alignment horizontal="left" indent="1"/>
    </xf>
    <xf numFmtId="0" fontId="0" fillId="5" borderId="40" xfId="0" applyFont="1" applyFill="1" applyBorder="1"/>
    <xf numFmtId="0" fontId="0" fillId="0" borderId="16" xfId="0" applyFont="1" applyBorder="1" applyProtection="1"/>
    <xf numFmtId="3" fontId="2" fillId="9" borderId="16" xfId="0" applyNumberFormat="1" applyFont="1" applyFill="1" applyBorder="1" applyAlignment="1" applyProtection="1">
      <alignment horizontal="right" indent="1"/>
      <protection locked="0"/>
    </xf>
    <xf numFmtId="0" fontId="2" fillId="9" borderId="0" xfId="0" applyFont="1" applyFill="1" applyBorder="1" applyAlignment="1" applyProtection="1">
      <alignment horizontal="right" indent="1"/>
      <protection locked="0"/>
    </xf>
    <xf numFmtId="170" fontId="7" fillId="0" borderId="0" xfId="0" applyNumberFormat="1" applyFont="1" applyAlignment="1" applyProtection="1">
      <alignment horizontal="right" indent="1"/>
    </xf>
    <xf numFmtId="0" fontId="0" fillId="0" borderId="5" xfId="0" applyBorder="1" applyAlignment="1">
      <alignment horizontal="right" indent="1"/>
    </xf>
    <xf numFmtId="0" fontId="0" fillId="0" borderId="5" xfId="0" applyBorder="1"/>
    <xf numFmtId="0" fontId="0" fillId="0" borderId="20" xfId="0" applyBorder="1" applyAlignment="1">
      <alignment horizontal="right" indent="1"/>
    </xf>
    <xf numFmtId="0" fontId="2" fillId="0" borderId="0" xfId="0" applyFont="1" applyBorder="1" applyAlignment="1">
      <alignment horizontal="left" indent="1"/>
    </xf>
    <xf numFmtId="0" fontId="4" fillId="0" borderId="20" xfId="0" applyFont="1" applyBorder="1" applyAlignment="1">
      <alignment horizontal="left" indent="1"/>
    </xf>
    <xf numFmtId="0" fontId="0" fillId="0" borderId="0" xfId="0" applyBorder="1" applyAlignment="1">
      <alignment horizontal="left"/>
    </xf>
    <xf numFmtId="0" fontId="2" fillId="0" borderId="33" xfId="0" applyFont="1" applyBorder="1" applyAlignment="1">
      <alignment horizontal="left" indent="1"/>
    </xf>
    <xf numFmtId="0" fontId="4" fillId="0" borderId="0" xfId="0" applyFont="1" applyBorder="1"/>
    <xf numFmtId="0" fontId="4" fillId="0" borderId="0" xfId="0" applyFont="1" applyBorder="1" applyAlignment="1">
      <alignment horizontal="left" indent="1"/>
    </xf>
    <xf numFmtId="165" fontId="9" fillId="0" borderId="2" xfId="0" quotePrefix="1" applyNumberFormat="1" applyFont="1" applyBorder="1" applyAlignment="1" applyProtection="1">
      <alignment horizontal="left"/>
    </xf>
    <xf numFmtId="165" fontId="16" fillId="0" borderId="2" xfId="0" applyNumberFormat="1" applyFont="1" applyBorder="1" applyAlignment="1" applyProtection="1">
      <alignment horizontal="left"/>
    </xf>
    <xf numFmtId="9" fontId="9" fillId="0" borderId="6" xfId="1" applyFont="1" applyBorder="1" applyProtection="1"/>
    <xf numFmtId="4" fontId="9" fillId="0" borderId="6" xfId="0" applyNumberFormat="1" applyFont="1" applyBorder="1" applyAlignment="1" applyProtection="1">
      <alignment horizontal="right" indent="1"/>
    </xf>
    <xf numFmtId="0" fontId="0" fillId="0" borderId="33" xfId="0" applyFont="1" applyBorder="1"/>
    <xf numFmtId="0" fontId="4" fillId="6" borderId="16" xfId="0" applyFont="1" applyFill="1" applyBorder="1" applyAlignment="1" applyProtection="1">
      <alignment horizontal="left" indent="1"/>
    </xf>
    <xf numFmtId="0" fontId="4" fillId="6" borderId="16" xfId="0" applyFont="1" applyFill="1" applyBorder="1" applyProtection="1"/>
    <xf numFmtId="0" fontId="2" fillId="9" borderId="0" xfId="0" applyFont="1" applyFill="1" applyAlignment="1" applyProtection="1">
      <alignment horizontal="right" indent="1"/>
      <protection locked="0"/>
    </xf>
    <xf numFmtId="3" fontId="2" fillId="9" borderId="5" xfId="0" applyNumberFormat="1" applyFont="1" applyFill="1" applyBorder="1" applyAlignment="1" applyProtection="1">
      <alignment horizontal="right" indent="1"/>
      <protection locked="0"/>
    </xf>
    <xf numFmtId="0" fontId="2" fillId="9" borderId="11" xfId="0" applyFont="1" applyFill="1" applyBorder="1" applyAlignment="1" applyProtection="1">
      <alignment horizontal="right" indent="1"/>
      <protection locked="0"/>
    </xf>
    <xf numFmtId="2" fontId="2" fillId="9" borderId="11" xfId="0" applyNumberFormat="1" applyFont="1" applyFill="1" applyBorder="1" applyAlignment="1" applyProtection="1">
      <alignment horizontal="right" indent="1"/>
      <protection locked="0"/>
    </xf>
    <xf numFmtId="0" fontId="2" fillId="0" borderId="11" xfId="0" applyFont="1" applyBorder="1" applyAlignment="1" applyProtection="1">
      <alignment horizontal="right" indent="1"/>
    </xf>
    <xf numFmtId="164" fontId="2" fillId="9" borderId="11" xfId="0" applyNumberFormat="1" applyFont="1" applyFill="1" applyBorder="1" applyAlignment="1" applyProtection="1">
      <alignment horizontal="right" indent="1"/>
      <protection locked="0"/>
    </xf>
    <xf numFmtId="167" fontId="0" fillId="0" borderId="11" xfId="0" applyNumberFormat="1" applyBorder="1" applyAlignment="1" applyProtection="1">
      <alignment horizontal="right" indent="1"/>
    </xf>
    <xf numFmtId="170" fontId="0" fillId="0" borderId="11" xfId="0" quotePrefix="1" applyNumberFormat="1" applyBorder="1" applyAlignment="1" applyProtection="1">
      <alignment horizontal="right" indent="1"/>
    </xf>
    <xf numFmtId="0" fontId="0" fillId="0" borderId="41" xfId="0" applyBorder="1" applyProtection="1"/>
    <xf numFmtId="0" fontId="2" fillId="9" borderId="41" xfId="0" applyFont="1" applyFill="1" applyBorder="1" applyAlignment="1" applyProtection="1">
      <alignment horizontal="right" indent="1"/>
      <protection locked="0"/>
    </xf>
    <xf numFmtId="0" fontId="2" fillId="9" borderId="42" xfId="0" applyFont="1" applyFill="1" applyBorder="1" applyAlignment="1" applyProtection="1">
      <alignment horizontal="right" indent="1"/>
      <protection locked="0"/>
    </xf>
    <xf numFmtId="0" fontId="2" fillId="9" borderId="43" xfId="0" applyFont="1" applyFill="1" applyBorder="1" applyAlignment="1" applyProtection="1">
      <alignment horizontal="right" indent="1"/>
      <protection locked="0"/>
    </xf>
    <xf numFmtId="0" fontId="2" fillId="0" borderId="2" xfId="0" applyFont="1" applyBorder="1" applyAlignment="1">
      <alignment horizontal="left" indent="1"/>
    </xf>
    <xf numFmtId="0" fontId="2" fillId="0" borderId="2" xfId="0" applyFont="1" applyBorder="1"/>
    <xf numFmtId="0" fontId="0" fillId="0" borderId="2" xfId="0" applyBorder="1"/>
    <xf numFmtId="0" fontId="4" fillId="0" borderId="16" xfId="0" applyFont="1" applyBorder="1" applyAlignment="1">
      <alignment horizontal="left" indent="1"/>
    </xf>
    <xf numFmtId="0" fontId="4" fillId="0" borderId="16" xfId="0" applyFont="1" applyBorder="1"/>
    <xf numFmtId="0" fontId="0" fillId="0" borderId="0" xfId="0" applyProtection="1">
      <protection locked="0"/>
    </xf>
    <xf numFmtId="0" fontId="0" fillId="0" borderId="2" xfId="0" applyBorder="1" applyAlignment="1" applyProtection="1">
      <alignment horizontal="center"/>
    </xf>
    <xf numFmtId="0" fontId="4" fillId="0" borderId="15" xfId="0" applyNumberFormat="1" applyFont="1" applyBorder="1" applyAlignment="1" applyProtection="1">
      <alignment horizontal="right" indent="1"/>
    </xf>
    <xf numFmtId="0" fontId="0" fillId="0" borderId="6" xfId="0" applyBorder="1" applyProtection="1"/>
    <xf numFmtId="172" fontId="0" fillId="0" borderId="5" xfId="1" applyNumberFormat="1" applyFont="1" applyBorder="1" applyAlignment="1" applyProtection="1">
      <alignment horizontal="right" indent="1"/>
    </xf>
    <xf numFmtId="0" fontId="0" fillId="0" borderId="0" xfId="0" applyAlignment="1" applyProtection="1">
      <alignment horizontal="center"/>
      <protection locked="0"/>
    </xf>
    <xf numFmtId="0" fontId="0" fillId="0" borderId="15" xfId="0" applyBorder="1" applyProtection="1"/>
    <xf numFmtId="0" fontId="0" fillId="0" borderId="40" xfId="0" applyBorder="1" applyAlignment="1" applyProtection="1">
      <alignment horizontal="centerContinuous"/>
    </xf>
    <xf numFmtId="0" fontId="0" fillId="0" borderId="0" xfId="0" applyBorder="1" applyAlignment="1" applyProtection="1">
      <alignment horizontal="center"/>
    </xf>
    <xf numFmtId="0" fontId="0" fillId="0" borderId="2" xfId="0" applyBorder="1" applyAlignment="1" applyProtection="1">
      <alignment horizontal="left" indent="1"/>
    </xf>
    <xf numFmtId="2" fontId="0" fillId="0" borderId="2" xfId="0" applyNumberFormat="1" applyBorder="1" applyAlignment="1" applyProtection="1">
      <alignment horizontal="right" indent="1"/>
    </xf>
    <xf numFmtId="0" fontId="0" fillId="0" borderId="5" xfId="0" applyBorder="1" applyAlignment="1" applyProtection="1">
      <alignment horizontal="left" indent="1"/>
    </xf>
    <xf numFmtId="169" fontId="0" fillId="0" borderId="5" xfId="0" applyNumberFormat="1" applyBorder="1" applyAlignment="1" applyProtection="1">
      <alignment horizontal="right" indent="1"/>
    </xf>
    <xf numFmtId="4" fontId="4" fillId="0" borderId="0" xfId="2" applyNumberFormat="1" applyFont="1" applyAlignment="1" applyProtection="1">
      <alignment horizontal="right" indent="1"/>
    </xf>
    <xf numFmtId="175" fontId="4" fillId="0" borderId="0" xfId="2" applyNumberFormat="1" applyFont="1" applyAlignment="1" applyProtection="1">
      <alignment horizontal="right" indent="1"/>
    </xf>
    <xf numFmtId="2" fontId="0" fillId="0" borderId="0" xfId="0" applyNumberFormat="1" applyAlignment="1" applyProtection="1">
      <alignment horizontal="right" indent="1"/>
    </xf>
    <xf numFmtId="173" fontId="0" fillId="0" borderId="0" xfId="0" applyNumberFormat="1" applyAlignment="1" applyProtection="1">
      <alignment horizontal="right" indent="1"/>
    </xf>
    <xf numFmtId="0" fontId="4" fillId="0" borderId="0" xfId="2" applyNumberFormat="1" applyFont="1" applyAlignment="1" applyProtection="1">
      <alignment horizontal="right" indent="1"/>
    </xf>
    <xf numFmtId="169" fontId="0" fillId="0" borderId="0" xfId="0" applyNumberFormat="1" applyAlignment="1" applyProtection="1">
      <alignment horizontal="right" indent="1"/>
    </xf>
    <xf numFmtId="174" fontId="0" fillId="0" borderId="0" xfId="0" applyNumberFormat="1" applyProtection="1"/>
    <xf numFmtId="0" fontId="0" fillId="0" borderId="0" xfId="0" applyNumberFormat="1" applyAlignment="1" applyProtection="1">
      <alignment horizontal="right" indent="1"/>
    </xf>
    <xf numFmtId="0" fontId="2" fillId="9" borderId="15" xfId="0" applyNumberFormat="1" applyFont="1" applyFill="1" applyBorder="1" applyAlignment="1" applyProtection="1">
      <alignment horizontal="right" indent="1"/>
      <protection locked="0"/>
    </xf>
    <xf numFmtId="0" fontId="2" fillId="9" borderId="11" xfId="0" applyNumberFormat="1" applyFont="1" applyFill="1" applyBorder="1" applyAlignment="1" applyProtection="1">
      <alignment horizontal="right" indent="1"/>
      <protection locked="0"/>
    </xf>
    <xf numFmtId="0" fontId="4" fillId="0" borderId="11" xfId="0" applyNumberFormat="1" applyFont="1" applyBorder="1" applyAlignment="1" applyProtection="1">
      <alignment horizontal="right" indent="1"/>
    </xf>
    <xf numFmtId="0" fontId="4" fillId="0" borderId="11" xfId="0" applyFont="1" applyBorder="1" applyAlignment="1" applyProtection="1">
      <alignment horizontal="right" indent="1"/>
    </xf>
    <xf numFmtId="2" fontId="4" fillId="0" borderId="11" xfId="0" applyNumberFormat="1" applyFont="1" applyBorder="1" applyAlignment="1" applyProtection="1">
      <alignment horizontal="right" indent="1"/>
    </xf>
    <xf numFmtId="164" fontId="4" fillId="0" borderId="11" xfId="0" applyNumberFormat="1" applyFont="1" applyBorder="1" applyAlignment="1" applyProtection="1">
      <alignment horizontal="right" indent="1"/>
    </xf>
    <xf numFmtId="169" fontId="0" fillId="0" borderId="11" xfId="0" applyNumberFormat="1" applyBorder="1" applyAlignment="1" applyProtection="1">
      <alignment horizontal="right" indent="1"/>
    </xf>
    <xf numFmtId="0" fontId="4" fillId="0" borderId="46" xfId="0" applyNumberFormat="1" applyFont="1" applyBorder="1" applyAlignment="1" applyProtection="1">
      <alignment horizontal="right" indent="1"/>
    </xf>
    <xf numFmtId="0" fontId="4" fillId="0" borderId="12" xfId="0" applyNumberFormat="1" applyFont="1" applyBorder="1" applyAlignment="1" applyProtection="1">
      <alignment horizontal="right" indent="1"/>
    </xf>
    <xf numFmtId="0" fontId="0" fillId="0" borderId="12" xfId="0" applyBorder="1" applyAlignment="1" applyProtection="1">
      <alignment horizontal="right" indent="1"/>
    </xf>
    <xf numFmtId="2" fontId="2" fillId="9" borderId="12" xfId="0" applyNumberFormat="1" applyFont="1" applyFill="1" applyBorder="1" applyAlignment="1" applyProtection="1">
      <alignment horizontal="right" indent="1"/>
      <protection locked="0"/>
    </xf>
    <xf numFmtId="164" fontId="4" fillId="0" borderId="12" xfId="0" applyNumberFormat="1" applyFont="1" applyBorder="1" applyAlignment="1" applyProtection="1">
      <alignment horizontal="right" indent="1"/>
    </xf>
    <xf numFmtId="0" fontId="0" fillId="0" borderId="12" xfId="0" applyBorder="1" applyProtection="1"/>
    <xf numFmtId="164" fontId="2" fillId="9" borderId="12" xfId="0" applyNumberFormat="1" applyFont="1" applyFill="1" applyBorder="1" applyAlignment="1" applyProtection="1">
      <alignment horizontal="right" indent="1"/>
      <protection locked="0"/>
    </xf>
    <xf numFmtId="4" fontId="4" fillId="0" borderId="47" xfId="0" applyNumberFormat="1" applyFont="1" applyBorder="1" applyAlignment="1" applyProtection="1">
      <alignment horizontal="right" indent="1"/>
    </xf>
    <xf numFmtId="0" fontId="0" fillId="0" borderId="49" xfId="0" applyBorder="1" applyAlignment="1" applyProtection="1">
      <alignment horizontal="center"/>
    </xf>
    <xf numFmtId="2" fontId="0" fillId="0" borderId="50" xfId="0" applyNumberFormat="1" applyBorder="1" applyAlignment="1" applyProtection="1">
      <alignment horizontal="right" indent="1"/>
    </xf>
    <xf numFmtId="169" fontId="0" fillId="0" borderId="50" xfId="0" applyNumberFormat="1" applyBorder="1" applyAlignment="1" applyProtection="1">
      <alignment horizontal="right" indent="1"/>
    </xf>
    <xf numFmtId="164" fontId="0" fillId="0" borderId="50" xfId="0" applyNumberFormat="1" applyBorder="1" applyAlignment="1" applyProtection="1">
      <alignment horizontal="right" indent="1"/>
    </xf>
    <xf numFmtId="172" fontId="0" fillId="0" borderId="51" xfId="1" applyNumberFormat="1" applyFont="1" applyBorder="1" applyAlignment="1" applyProtection="1">
      <alignment horizontal="right" indent="1"/>
    </xf>
    <xf numFmtId="0" fontId="0" fillId="0" borderId="10" xfId="0" applyBorder="1" applyAlignment="1" applyProtection="1">
      <alignment horizontal="center"/>
    </xf>
    <xf numFmtId="2" fontId="0" fillId="0" borderId="9" xfId="0" applyNumberFormat="1" applyBorder="1" applyAlignment="1" applyProtection="1">
      <alignment horizontal="right" indent="1"/>
    </xf>
    <xf numFmtId="169" fontId="0" fillId="0" borderId="12" xfId="0" applyNumberFormat="1" applyBorder="1" applyAlignment="1" applyProtection="1">
      <alignment horizontal="right" indent="1"/>
    </xf>
    <xf numFmtId="169" fontId="0" fillId="0" borderId="52" xfId="0" applyNumberFormat="1" applyBorder="1" applyAlignment="1" applyProtection="1">
      <alignment horizontal="right" indent="1"/>
    </xf>
    <xf numFmtId="0" fontId="0" fillId="0" borderId="45" xfId="0" applyBorder="1" applyProtection="1"/>
    <xf numFmtId="164" fontId="2" fillId="9" borderId="45" xfId="0" applyNumberFormat="1" applyFont="1" applyFill="1" applyBorder="1" applyAlignment="1" applyProtection="1">
      <alignment horizontal="right" indent="1"/>
      <protection locked="0"/>
    </xf>
    <xf numFmtId="0" fontId="2" fillId="9" borderId="45" xfId="0" applyNumberFormat="1" applyFont="1" applyFill="1" applyBorder="1" applyAlignment="1" applyProtection="1">
      <alignment horizontal="center"/>
      <protection locked="0"/>
    </xf>
    <xf numFmtId="0" fontId="2" fillId="9" borderId="48" xfId="0" applyNumberFormat="1" applyFont="1" applyFill="1" applyBorder="1" applyAlignment="1" applyProtection="1">
      <alignment horizontal="center"/>
      <protection locked="0"/>
    </xf>
    <xf numFmtId="0" fontId="4" fillId="0" borderId="45" xfId="0" applyNumberFormat="1" applyFont="1" applyBorder="1" applyAlignment="1" applyProtection="1">
      <alignment horizontal="center"/>
    </xf>
    <xf numFmtId="0" fontId="4" fillId="0" borderId="48" xfId="0" applyNumberFormat="1" applyFont="1" applyBorder="1" applyAlignment="1" applyProtection="1">
      <alignment horizontal="center"/>
    </xf>
    <xf numFmtId="0" fontId="6" fillId="0" borderId="6" xfId="0" applyFont="1" applyBorder="1" applyProtection="1"/>
    <xf numFmtId="14" fontId="26" fillId="5" borderId="0" xfId="0" applyNumberFormat="1" applyFont="1" applyFill="1" applyAlignment="1">
      <alignment horizontal="right" indent="1"/>
    </xf>
    <xf numFmtId="14" fontId="26" fillId="0" borderId="6" xfId="0" applyNumberFormat="1" applyFont="1" applyBorder="1" applyAlignment="1" applyProtection="1">
      <alignment horizontal="right" indent="1"/>
    </xf>
    <xf numFmtId="14" fontId="27" fillId="6" borderId="6" xfId="2" applyNumberFormat="1" applyFont="1" applyFill="1" applyBorder="1" applyAlignment="1" applyProtection="1">
      <alignment horizontal="right" indent="1"/>
    </xf>
    <xf numFmtId="0" fontId="0" fillId="0" borderId="0" xfId="0" applyFill="1" applyAlignment="1" applyProtection="1">
      <alignment horizontal="left"/>
    </xf>
    <xf numFmtId="170" fontId="4" fillId="0" borderId="11" xfId="0" applyNumberFormat="1" applyFont="1" applyFill="1" applyBorder="1" applyAlignment="1" applyProtection="1">
      <alignment horizontal="right" indent="1"/>
      <protection locked="0"/>
    </xf>
    <xf numFmtId="0" fontId="0" fillId="0" borderId="40" xfId="0" applyBorder="1" applyProtection="1"/>
    <xf numFmtId="164" fontId="0" fillId="0" borderId="40" xfId="0" applyNumberFormat="1" applyFont="1" applyBorder="1" applyAlignment="1" applyProtection="1">
      <alignment horizontal="right" indent="1"/>
    </xf>
    <xf numFmtId="164" fontId="0" fillId="0" borderId="53" xfId="0" applyNumberFormat="1" applyFont="1" applyBorder="1" applyAlignment="1" applyProtection="1">
      <alignment horizontal="right" indent="1"/>
    </xf>
    <xf numFmtId="9" fontId="1" fillId="0" borderId="6" xfId="1" applyFont="1" applyBorder="1" applyAlignment="1" applyProtection="1">
      <alignment horizontal="left" indent="1"/>
    </xf>
    <xf numFmtId="9" fontId="2" fillId="10" borderId="0" xfId="0" applyNumberFormat="1" applyFont="1" applyFill="1" applyBorder="1" applyAlignment="1" applyProtection="1">
      <alignment horizontal="right" indent="1"/>
      <protection locked="0"/>
    </xf>
    <xf numFmtId="0" fontId="0" fillId="0" borderId="0" xfId="0" applyFill="1" applyBorder="1" applyAlignment="1">
      <alignment horizontal="left" indent="1"/>
    </xf>
    <xf numFmtId="0" fontId="4" fillId="0" borderId="0" xfId="2" applyFont="1" applyProtection="1"/>
    <xf numFmtId="0" fontId="4" fillId="0" borderId="11" xfId="0" applyFont="1" applyBorder="1" applyAlignment="1" applyProtection="1">
      <alignment horizontal="left" indent="1"/>
    </xf>
    <xf numFmtId="0" fontId="4" fillId="0" borderId="11" xfId="0" applyFont="1" applyBorder="1" applyAlignment="1" applyProtection="1">
      <alignment horizontal="right"/>
    </xf>
    <xf numFmtId="0" fontId="2" fillId="9" borderId="54" xfId="0" applyFont="1" applyFill="1" applyBorder="1" applyAlignment="1" applyProtection="1">
      <alignment horizontal="center"/>
      <protection locked="0"/>
    </xf>
    <xf numFmtId="0" fontId="0" fillId="0" borderId="45" xfId="0" applyBorder="1" applyAlignment="1" applyProtection="1">
      <alignment horizontal="right" indent="2"/>
    </xf>
    <xf numFmtId="0" fontId="2" fillId="9" borderId="45" xfId="0" applyFont="1" applyFill="1" applyBorder="1" applyAlignment="1" applyProtection="1">
      <alignment horizontal="right" indent="2"/>
      <protection locked="0"/>
    </xf>
    <xf numFmtId="0" fontId="0" fillId="0" borderId="11" xfId="0" applyBorder="1" applyAlignment="1" applyProtection="1">
      <alignment horizontal="right" indent="2"/>
    </xf>
    <xf numFmtId="0" fontId="2" fillId="9" borderId="11" xfId="0" applyFont="1" applyFill="1" applyBorder="1" applyAlignment="1" applyProtection="1">
      <alignment horizontal="right" indent="2"/>
      <protection locked="0"/>
    </xf>
    <xf numFmtId="0" fontId="2" fillId="0" borderId="11" xfId="0" applyFont="1" applyBorder="1" applyAlignment="1" applyProtection="1">
      <alignment horizontal="right" indent="2"/>
    </xf>
    <xf numFmtId="0" fontId="0" fillId="0" borderId="41" xfId="0" applyBorder="1" applyAlignment="1" applyProtection="1">
      <alignment horizontal="right" indent="2"/>
    </xf>
    <xf numFmtId="0" fontId="2" fillId="9" borderId="41" xfId="0" applyFont="1" applyFill="1" applyBorder="1" applyAlignment="1" applyProtection="1">
      <alignment horizontal="right" indent="2"/>
      <protection locked="0"/>
    </xf>
    <xf numFmtId="0" fontId="4" fillId="6" borderId="0" xfId="2" applyFont="1" applyFill="1" applyProtection="1"/>
    <xf numFmtId="165" fontId="4" fillId="6" borderId="0" xfId="2" applyNumberFormat="1" applyFont="1" applyFill="1" applyProtection="1"/>
    <xf numFmtId="172" fontId="2" fillId="10" borderId="12" xfId="6" applyNumberFormat="1" applyFont="1" applyFill="1" applyBorder="1" applyAlignment="1" applyProtection="1">
      <alignment horizontal="right" indent="1"/>
      <protection locked="0"/>
    </xf>
    <xf numFmtId="9" fontId="2" fillId="10" borderId="12" xfId="0" applyNumberFormat="1" applyFont="1" applyFill="1" applyBorder="1" applyAlignment="1" applyProtection="1">
      <alignment horizontal="right" indent="1"/>
      <protection locked="0"/>
    </xf>
    <xf numFmtId="172" fontId="2" fillId="10" borderId="43" xfId="6" applyNumberFormat="1" applyFont="1" applyFill="1" applyBorder="1" applyAlignment="1" applyProtection="1">
      <alignment horizontal="right" indent="1"/>
      <protection locked="0"/>
    </xf>
    <xf numFmtId="0" fontId="28" fillId="0" borderId="0" xfId="0" applyFont="1"/>
    <xf numFmtId="0" fontId="28" fillId="0" borderId="0" xfId="0" applyFont="1" applyProtection="1">
      <protection hidden="1"/>
    </xf>
    <xf numFmtId="0" fontId="0" fillId="0" borderId="0" xfId="0" applyProtection="1">
      <protection hidden="1"/>
    </xf>
    <xf numFmtId="0" fontId="10" fillId="0" borderId="0" xfId="0" applyFont="1" applyBorder="1" applyProtection="1">
      <protection hidden="1"/>
    </xf>
    <xf numFmtId="0" fontId="16" fillId="12" borderId="5" xfId="2" applyFont="1" applyFill="1" applyBorder="1" applyProtection="1">
      <protection hidden="1"/>
    </xf>
    <xf numFmtId="0" fontId="4" fillId="12" borderId="5" xfId="2" applyFont="1" applyFill="1" applyBorder="1" applyProtection="1">
      <protection hidden="1"/>
    </xf>
    <xf numFmtId="0" fontId="29" fillId="6" borderId="0" xfId="2" applyFont="1" applyFill="1" applyProtection="1">
      <protection hidden="1"/>
    </xf>
    <xf numFmtId="0" fontId="4" fillId="6" borderId="0" xfId="2" applyFont="1" applyFill="1" applyProtection="1">
      <protection hidden="1"/>
    </xf>
    <xf numFmtId="0" fontId="0" fillId="0" borderId="0" xfId="0" applyBorder="1" applyProtection="1">
      <protection hidden="1"/>
    </xf>
    <xf numFmtId="0" fontId="4" fillId="6" borderId="0" xfId="2" applyFont="1" applyFill="1" applyAlignment="1" applyProtection="1">
      <alignment horizontal="centerContinuous"/>
      <protection hidden="1"/>
    </xf>
    <xf numFmtId="0" fontId="12" fillId="0" borderId="0" xfId="0" applyFont="1" applyProtection="1">
      <protection hidden="1"/>
    </xf>
    <xf numFmtId="165" fontId="30" fillId="11" borderId="0" xfId="2" applyNumberFormat="1" applyFont="1" applyFill="1" applyProtection="1">
      <protection hidden="1"/>
    </xf>
    <xf numFmtId="172" fontId="4" fillId="11" borderId="0" xfId="2" applyNumberFormat="1" applyFont="1" applyFill="1" applyAlignment="1" applyProtection="1">
      <alignment horizontal="right" indent="1"/>
      <protection hidden="1"/>
    </xf>
    <xf numFmtId="9" fontId="4" fillId="11" borderId="0" xfId="2" applyNumberFormat="1" applyFont="1" applyFill="1" applyBorder="1" applyAlignment="1" applyProtection="1">
      <alignment horizontal="right" indent="1"/>
      <protection hidden="1"/>
    </xf>
    <xf numFmtId="164" fontId="4" fillId="6" borderId="55" xfId="2" applyNumberFormat="1" applyFont="1" applyFill="1" applyBorder="1" applyAlignment="1" applyProtection="1">
      <alignment horizontal="right" indent="1"/>
      <protection hidden="1"/>
    </xf>
    <xf numFmtId="164" fontId="4" fillId="6" borderId="48" xfId="2" applyNumberFormat="1" applyFont="1" applyFill="1" applyBorder="1" applyAlignment="1" applyProtection="1">
      <alignment horizontal="right" indent="1"/>
      <protection hidden="1"/>
    </xf>
    <xf numFmtId="164" fontId="4" fillId="6" borderId="44" xfId="2" applyNumberFormat="1" applyFont="1" applyFill="1" applyBorder="1" applyAlignment="1" applyProtection="1">
      <alignment horizontal="right" indent="1"/>
      <protection hidden="1"/>
    </xf>
    <xf numFmtId="165" fontId="4" fillId="6" borderId="0" xfId="2" applyNumberFormat="1" applyFont="1" applyFill="1" applyProtection="1">
      <protection hidden="1"/>
    </xf>
    <xf numFmtId="164" fontId="4" fillId="6" borderId="56" xfId="2" applyNumberFormat="1" applyFont="1" applyFill="1" applyBorder="1" applyAlignment="1" applyProtection="1">
      <alignment horizontal="right" indent="1"/>
      <protection hidden="1"/>
    </xf>
    <xf numFmtId="164" fontId="4" fillId="6" borderId="12" xfId="2" applyNumberFormat="1" applyFont="1" applyFill="1" applyBorder="1" applyAlignment="1" applyProtection="1">
      <alignment horizontal="right" indent="1"/>
      <protection hidden="1"/>
    </xf>
    <xf numFmtId="164" fontId="4" fillId="6" borderId="50" xfId="2" applyNumberFormat="1" applyFont="1" applyFill="1" applyBorder="1" applyAlignment="1" applyProtection="1">
      <alignment horizontal="right" indent="1"/>
      <protection hidden="1"/>
    </xf>
    <xf numFmtId="9" fontId="4" fillId="11" borderId="5" xfId="2" applyNumberFormat="1" applyFont="1" applyFill="1" applyBorder="1" applyAlignment="1" applyProtection="1">
      <alignment horizontal="right" indent="1"/>
      <protection hidden="1"/>
    </xf>
    <xf numFmtId="164" fontId="4" fillId="6" borderId="57" xfId="2" applyNumberFormat="1" applyFont="1" applyFill="1" applyBorder="1" applyAlignment="1" applyProtection="1">
      <alignment horizontal="right" indent="1"/>
      <protection hidden="1"/>
    </xf>
    <xf numFmtId="164" fontId="4" fillId="6" borderId="43" xfId="2" applyNumberFormat="1" applyFont="1" applyFill="1" applyBorder="1" applyAlignment="1" applyProtection="1">
      <alignment horizontal="right" indent="1"/>
      <protection hidden="1"/>
    </xf>
    <xf numFmtId="164" fontId="16" fillId="6" borderId="42" xfId="2" applyNumberFormat="1" applyFont="1" applyFill="1" applyBorder="1" applyAlignment="1" applyProtection="1">
      <alignment horizontal="right" indent="1"/>
      <protection hidden="1"/>
    </xf>
    <xf numFmtId="165" fontId="4" fillId="6" borderId="0" xfId="2" applyNumberFormat="1" applyFont="1" applyFill="1" applyAlignment="1" applyProtection="1">
      <alignment horizontal="left" indent="1"/>
      <protection hidden="1"/>
    </xf>
    <xf numFmtId="0" fontId="1" fillId="0" borderId="0" xfId="0" applyFont="1" applyBorder="1" applyProtection="1">
      <protection hidden="1"/>
    </xf>
    <xf numFmtId="0" fontId="4" fillId="0" borderId="0" xfId="0" applyFont="1" applyProtection="1">
      <protection hidden="1"/>
    </xf>
    <xf numFmtId="0" fontId="4" fillId="0" borderId="0" xfId="0" applyFont="1" applyBorder="1" applyProtection="1">
      <protection hidden="1"/>
    </xf>
    <xf numFmtId="0" fontId="16" fillId="0" borderId="0" xfId="0" applyFont="1" applyBorder="1" applyProtection="1">
      <protection hidden="1"/>
    </xf>
    <xf numFmtId="2" fontId="0" fillId="0" borderId="0" xfId="0" applyNumberFormat="1" applyBorder="1" applyProtection="1">
      <protection hidden="1"/>
    </xf>
    <xf numFmtId="164" fontId="1" fillId="0" borderId="0" xfId="0" applyNumberFormat="1" applyFont="1" applyBorder="1" applyProtection="1">
      <protection hidden="1"/>
    </xf>
    <xf numFmtId="0" fontId="8" fillId="0" borderId="0" xfId="0" applyFont="1" applyBorder="1" applyAlignment="1" applyProtection="1">
      <alignment horizontal="left" indent="1"/>
      <protection hidden="1"/>
    </xf>
    <xf numFmtId="172" fontId="2" fillId="10" borderId="12" xfId="6" applyNumberFormat="1" applyFont="1" applyFill="1" applyBorder="1" applyAlignment="1" applyProtection="1">
      <alignment horizontal="right" indent="1"/>
      <protection hidden="1"/>
    </xf>
    <xf numFmtId="0" fontId="29" fillId="6" borderId="5" xfId="2" applyFont="1" applyFill="1" applyBorder="1" applyProtection="1">
      <protection hidden="1"/>
    </xf>
    <xf numFmtId="165" fontId="4" fillId="6" borderId="5" xfId="2" applyNumberFormat="1" applyFont="1" applyFill="1" applyBorder="1" applyProtection="1">
      <protection hidden="1"/>
    </xf>
    <xf numFmtId="166" fontId="4" fillId="6" borderId="5" xfId="2" applyNumberFormat="1" applyFont="1" applyFill="1" applyBorder="1" applyProtection="1">
      <protection hidden="1"/>
    </xf>
    <xf numFmtId="0" fontId="0" fillId="8" borderId="0" xfId="0" applyFill="1" applyBorder="1" applyProtection="1">
      <protection hidden="1"/>
    </xf>
    <xf numFmtId="0" fontId="0" fillId="6" borderId="5" xfId="0" applyFill="1" applyBorder="1" applyProtection="1">
      <protection hidden="1"/>
    </xf>
    <xf numFmtId="0" fontId="0" fillId="6" borderId="0" xfId="0" applyFill="1" applyProtection="1">
      <protection hidden="1"/>
    </xf>
    <xf numFmtId="0" fontId="4" fillId="6" borderId="5" xfId="2" applyFont="1" applyFill="1" applyBorder="1" applyProtection="1">
      <protection hidden="1"/>
    </xf>
    <xf numFmtId="0" fontId="31" fillId="0" borderId="0" xfId="0" applyFont="1" applyProtection="1">
      <protection hidden="1"/>
    </xf>
    <xf numFmtId="165" fontId="28" fillId="6" borderId="0" xfId="2" applyNumberFormat="1" applyFont="1" applyFill="1" applyAlignment="1" applyProtection="1">
      <alignment horizontal="left" indent="1"/>
      <protection hidden="1"/>
    </xf>
    <xf numFmtId="0" fontId="1" fillId="0" borderId="0" xfId="0" applyFont="1" applyProtection="1">
      <protection hidden="1"/>
    </xf>
    <xf numFmtId="172" fontId="28" fillId="0" borderId="0" xfId="1" applyNumberFormat="1" applyFont="1" applyProtection="1">
      <protection hidden="1"/>
    </xf>
    <xf numFmtId="166" fontId="4" fillId="6" borderId="0" xfId="2" applyNumberFormat="1" applyFont="1" applyFill="1" applyProtection="1">
      <protection hidden="1"/>
    </xf>
    <xf numFmtId="0" fontId="31" fillId="0" borderId="0" xfId="0" applyFont="1" applyAlignment="1" applyProtection="1">
      <alignment vertical="center"/>
      <protection hidden="1"/>
    </xf>
    <xf numFmtId="0" fontId="28" fillId="0" borderId="0" xfId="0" applyFont="1" applyAlignment="1" applyProtection="1">
      <alignment horizontal="left" indent="2"/>
      <protection hidden="1"/>
    </xf>
    <xf numFmtId="0" fontId="32" fillId="9" borderId="0" xfId="0" applyFont="1" applyFill="1" applyAlignment="1" applyProtection="1">
      <alignment horizontal="center"/>
      <protection locked="0"/>
    </xf>
    <xf numFmtId="0" fontId="32" fillId="9" borderId="5" xfId="0" applyFont="1" applyFill="1" applyBorder="1" applyAlignment="1" applyProtection="1">
      <alignment horizontal="center"/>
      <protection locked="0"/>
    </xf>
    <xf numFmtId="0" fontId="4" fillId="6" borderId="0" xfId="2" applyFont="1" applyFill="1" applyBorder="1" applyAlignment="1" applyProtection="1">
      <alignment horizontal="right" vertical="center" textRotation="90" wrapText="1"/>
      <protection hidden="1"/>
    </xf>
    <xf numFmtId="0" fontId="1" fillId="0" borderId="0" xfId="0" applyFont="1" applyAlignment="1" applyProtection="1">
      <alignment horizontal="right" vertical="center" textRotation="90" wrapText="1"/>
      <protection hidden="1"/>
    </xf>
    <xf numFmtId="0" fontId="1" fillId="0" borderId="5" xfId="0" applyFont="1" applyBorder="1" applyAlignment="1" applyProtection="1">
      <alignment horizontal="right" vertical="center" textRotation="90" wrapText="1"/>
      <protection hidden="1"/>
    </xf>
    <xf numFmtId="0" fontId="9" fillId="3" borderId="3" xfId="0" applyFont="1" applyFill="1" applyBorder="1" applyAlignment="1" applyProtection="1">
      <alignment horizontal="left" wrapText="1" indent="1"/>
    </xf>
    <xf numFmtId="0" fontId="0" fillId="0" borderId="0" xfId="0" applyBorder="1" applyAlignment="1" applyProtection="1">
      <alignment horizontal="left" wrapText="1" indent="1"/>
    </xf>
    <xf numFmtId="0" fontId="0" fillId="0" borderId="22" xfId="0" applyBorder="1" applyAlignment="1" applyProtection="1">
      <alignment horizontal="left" wrapText="1" indent="1"/>
    </xf>
    <xf numFmtId="0" fontId="0" fillId="0" borderId="3" xfId="0" applyBorder="1" applyAlignment="1" applyProtection="1">
      <alignment horizontal="left" wrapText="1" indent="1"/>
    </xf>
    <xf numFmtId="0" fontId="0" fillId="3" borderId="3" xfId="0" applyFont="1" applyFill="1" applyBorder="1" applyAlignment="1" applyProtection="1">
      <alignment horizontal="left" wrapText="1" indent="1"/>
    </xf>
    <xf numFmtId="0" fontId="0" fillId="0" borderId="4" xfId="0" applyBorder="1" applyAlignment="1" applyProtection="1">
      <alignment horizontal="left" wrapText="1" indent="1"/>
    </xf>
    <xf numFmtId="0" fontId="0" fillId="0" borderId="5" xfId="0" applyBorder="1" applyAlignment="1" applyProtection="1">
      <alignment horizontal="left" wrapText="1" indent="1"/>
    </xf>
    <xf numFmtId="0" fontId="0" fillId="0" borderId="23" xfId="0" applyBorder="1" applyAlignment="1" applyProtection="1">
      <alignment horizontal="left" wrapText="1" indent="1"/>
    </xf>
    <xf numFmtId="0" fontId="8" fillId="6" borderId="2" xfId="0" applyFont="1" applyFill="1" applyBorder="1" applyAlignment="1" applyProtection="1">
      <alignment horizontal="left" vertical="center" wrapText="1" indent="14"/>
    </xf>
    <xf numFmtId="0" fontId="0" fillId="0" borderId="2" xfId="0" applyBorder="1" applyAlignment="1" applyProtection="1">
      <alignment horizontal="left" wrapText="1" indent="14"/>
    </xf>
    <xf numFmtId="0" fontId="0" fillId="0" borderId="0" xfId="0" applyBorder="1" applyAlignment="1" applyProtection="1">
      <alignment horizontal="left" wrapText="1" indent="14"/>
    </xf>
    <xf numFmtId="0" fontId="0" fillId="0" borderId="5" xfId="0" applyBorder="1" applyAlignment="1" applyProtection="1">
      <alignment horizontal="left" wrapText="1" indent="14"/>
    </xf>
    <xf numFmtId="0" fontId="4" fillId="0" borderId="29" xfId="0" applyFont="1" applyBorder="1" applyAlignment="1" applyProtection="1">
      <alignment horizontal="center"/>
    </xf>
    <xf numFmtId="0" fontId="0" fillId="0" borderId="18" xfId="0" applyBorder="1" applyAlignment="1">
      <alignment horizontal="center"/>
    </xf>
    <xf numFmtId="0" fontId="0" fillId="0" borderId="30" xfId="0" applyBorder="1" applyAlignment="1">
      <alignment horizontal="center"/>
    </xf>
    <xf numFmtId="0" fontId="4" fillId="0" borderId="25" xfId="0" applyFont="1" applyBorder="1" applyAlignment="1" applyProtection="1">
      <alignment horizontal="center"/>
    </xf>
    <xf numFmtId="0" fontId="8" fillId="0" borderId="2" xfId="0" applyFont="1" applyBorder="1" applyAlignment="1" applyProtection="1">
      <alignment horizontal="left" vertical="center" wrapText="1" indent="11"/>
    </xf>
    <xf numFmtId="0" fontId="8" fillId="0" borderId="0" xfId="0" applyFont="1" applyBorder="1" applyAlignment="1" applyProtection="1">
      <alignment horizontal="left" vertical="center" wrapText="1" indent="11"/>
    </xf>
    <xf numFmtId="0" fontId="8" fillId="0" borderId="5" xfId="0" applyFont="1" applyBorder="1" applyAlignment="1" applyProtection="1">
      <alignment horizontal="left" vertical="center" wrapText="1" indent="11"/>
    </xf>
    <xf numFmtId="0" fontId="0" fillId="0" borderId="2" xfId="0" applyBorder="1" applyAlignment="1" applyProtection="1">
      <alignment wrapText="1"/>
    </xf>
    <xf numFmtId="0" fontId="0" fillId="0" borderId="0" xfId="0" applyAlignment="1" applyProtection="1">
      <alignment wrapText="1"/>
    </xf>
    <xf numFmtId="167" fontId="0" fillId="0" borderId="44" xfId="0" applyNumberFormat="1" applyBorder="1" applyAlignment="1" applyProtection="1">
      <alignment horizontal="center"/>
    </xf>
    <xf numFmtId="0" fontId="0" fillId="0" borderId="45" xfId="0" applyBorder="1" applyAlignment="1">
      <alignment horizontal="center"/>
    </xf>
  </cellXfs>
  <cellStyles count="7">
    <cellStyle name="Normal" xfId="0" builtinId="0"/>
    <cellStyle name="Normal 2" xfId="2"/>
    <cellStyle name="Normal 2 2" xfId="4"/>
    <cellStyle name="Normal 3" xfId="5"/>
    <cellStyle name="Normal 4" xfId="3"/>
    <cellStyle name="Percent" xfId="1" builtinId="5"/>
    <cellStyle name="Percent 2" xfId="6"/>
  </cellStyles>
  <dxfs count="0"/>
  <tableStyles count="0" defaultTableStyle="TableStyleMedium2" defaultPivotStyle="PivotStyleLight16"/>
  <colors>
    <mruColors>
      <color rgb="FFFF9933"/>
      <color rgb="FFFF66CC"/>
      <color rgb="FF0000FF"/>
      <color rgb="FFFFB8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2615377543144862E-2"/>
          <c:y val="7.0453534922901934E-2"/>
          <c:w val="0.89822961898148757"/>
          <c:h val="0.84782646684121021"/>
        </c:manualLayout>
      </c:layout>
      <c:scatterChart>
        <c:scatterStyle val="lineMarker"/>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trendline>
          <c:xVal>
            <c:numRef>
              <c:f>'Cow-calf'!$B$116:$B$120</c:f>
              <c:numCache>
                <c:formatCode>General</c:formatCode>
                <c:ptCount val="5"/>
                <c:pt idx="0">
                  <c:v>0</c:v>
                </c:pt>
                <c:pt idx="1">
                  <c:v>50</c:v>
                </c:pt>
                <c:pt idx="2">
                  <c:v>200</c:v>
                </c:pt>
                <c:pt idx="3">
                  <c:v>100</c:v>
                </c:pt>
                <c:pt idx="4">
                  <c:v>150</c:v>
                </c:pt>
              </c:numCache>
            </c:numRef>
          </c:xVal>
          <c:yVal>
            <c:numRef>
              <c:f>'Cow-calf'!$D$116:$D$120</c:f>
              <c:numCache>
                <c:formatCode>General</c:formatCode>
                <c:ptCount val="5"/>
                <c:pt idx="0">
                  <c:v>100</c:v>
                </c:pt>
                <c:pt idx="1">
                  <c:v>94.8</c:v>
                </c:pt>
                <c:pt idx="2">
                  <c:v>89.2</c:v>
                </c:pt>
                <c:pt idx="3" formatCode="0.00">
                  <c:v>92.56</c:v>
                </c:pt>
                <c:pt idx="4" formatCode="0.00">
                  <c:v>90.320000000000007</c:v>
                </c:pt>
              </c:numCache>
            </c:numRef>
          </c:yVal>
          <c:extLst xmlns:c16r2="http://schemas.microsoft.com/office/drawing/2015/06/chart">
            <c:ext xmlns:c16="http://schemas.microsoft.com/office/drawing/2014/chart" uri="{C3380CC4-5D6E-409C-BE32-E72D297353CC}">
              <c16:uniqueId val="{00000000-F080-4E99-9083-BF781F19C485}"/>
            </c:ext>
          </c:extLst>
        </c:ser>
        <c:dLbls/>
        <c:axId val="121469184"/>
        <c:axId val="121475072"/>
      </c:scatterChart>
      <c:valAx>
        <c:axId val="12146918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75072"/>
        <c:crosses val="autoZero"/>
        <c:crossBetween val="midCat"/>
      </c:valAx>
      <c:valAx>
        <c:axId val="121475072"/>
        <c:scaling>
          <c:orientation val="minMax"/>
          <c:max val="100"/>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69184"/>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baseline="0">
                <a:solidFill>
                  <a:sysClr val="windowText" lastClr="000000"/>
                </a:solidFill>
              </a:rPr>
              <a:t>Return to Rumensin as Efficacy varies from 100%</a:t>
            </a:r>
            <a:endParaRPr lang="en-US" b="1">
              <a:solidFill>
                <a:sysClr val="windowText" lastClr="000000"/>
              </a:solidFill>
            </a:endParaRPr>
          </a:p>
        </c:rich>
      </c:tx>
      <c:layout>
        <c:manualLayout>
          <c:xMode val="edge"/>
          <c:yMode val="edge"/>
          <c:x val="0.15533625730994155"/>
          <c:y val="1.4619883040935675E-2"/>
        </c:manualLayout>
      </c:layout>
      <c:spPr>
        <a:noFill/>
        <a:ln>
          <a:noFill/>
        </a:ln>
        <a:effectLst/>
      </c:spPr>
    </c:title>
    <c:plotArea>
      <c:layout>
        <c:manualLayout>
          <c:layoutTarget val="inner"/>
          <c:xMode val="edge"/>
          <c:yMode val="edge"/>
          <c:x val="0.14255943053760076"/>
          <c:y val="0.14968486669429479"/>
          <c:w val="0.8278677152296261"/>
          <c:h val="0.67698462034351004"/>
        </c:manualLayout>
      </c:layout>
      <c:barChart>
        <c:barDir val="col"/>
        <c:grouping val="clustered"/>
        <c:ser>
          <c:idx val="0"/>
          <c:order val="0"/>
          <c:tx>
            <c:v>Base (100% Efficacy, 100% Price</c:v>
          </c:tx>
          <c:spPr>
            <a:solidFill>
              <a:srgbClr val="FF9933"/>
            </a:solidFill>
            <a:ln>
              <a:noFill/>
            </a:ln>
            <a:effectLst/>
          </c:spPr>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Val val="1"/>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'Cow-calf'!$Q$5:$U$5</c:f>
              <c:numCache>
                <c:formatCode>0.0%</c:formatCode>
                <c:ptCount val="5"/>
                <c:pt idx="0">
                  <c:v>0.89999999999999991</c:v>
                </c:pt>
                <c:pt idx="1">
                  <c:v>0.92499999999999993</c:v>
                </c:pt>
                <c:pt idx="2">
                  <c:v>0.95</c:v>
                </c:pt>
                <c:pt idx="3">
                  <c:v>0.97499999999999998</c:v>
                </c:pt>
                <c:pt idx="4">
                  <c:v>1</c:v>
                </c:pt>
              </c:numCache>
            </c:numRef>
          </c:cat>
          <c:val>
            <c:numRef>
              <c:f>'Cow-calf'!$Q$10:$U$10</c:f>
              <c:numCache>
                <c:formatCode>"$"#,##0.00</c:formatCode>
                <c:ptCount val="5"/>
                <c:pt idx="0">
                  <c:v>17.411999999999949</c:v>
                </c:pt>
                <c:pt idx="1">
                  <c:v>17.978999999999985</c:v>
                </c:pt>
                <c:pt idx="2">
                  <c:v>18.546000000000021</c:v>
                </c:pt>
                <c:pt idx="3">
                  <c:v>19.113</c:v>
                </c:pt>
                <c:pt idx="4">
                  <c:v>19.680000000000007</c:v>
                </c:pt>
              </c:numCache>
            </c:numRef>
          </c:val>
          <c:extLst xmlns:c16r2="http://schemas.microsoft.com/office/drawing/2015/06/chart">
            <c:ext xmlns:c16="http://schemas.microsoft.com/office/drawing/2014/chart" uri="{C3380CC4-5D6E-409C-BE32-E72D297353CC}">
              <c16:uniqueId val="{00000000-0138-4AD8-9ABC-A3254A75228F}"/>
            </c:ext>
          </c:extLst>
        </c:ser>
        <c:dLbls/>
        <c:gapWidth val="50"/>
        <c:axId val="121057280"/>
        <c:axId val="121059200"/>
      </c:barChart>
      <c:catAx>
        <c:axId val="121057280"/>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Relative</a:t>
                </a:r>
                <a:r>
                  <a:rPr lang="en-US" sz="1100" b="1" baseline="0">
                    <a:solidFill>
                      <a:sysClr val="windowText" lastClr="000000"/>
                    </a:solidFill>
                  </a:rPr>
                  <a:t> Efficacy</a:t>
                </a:r>
                <a:endParaRPr lang="en-US" sz="1100" b="1">
                  <a:solidFill>
                    <a:sysClr val="windowText" lastClr="000000"/>
                  </a:solidFill>
                </a:endParaRPr>
              </a:p>
            </c:rich>
          </c:tx>
          <c:layout>
            <c:manualLayout>
              <c:xMode val="edge"/>
              <c:yMode val="edge"/>
              <c:x val="0.45221644402658628"/>
              <c:y val="0.8926477529124649"/>
            </c:manualLayout>
          </c:layout>
          <c:spPr>
            <a:noFill/>
            <a:ln>
              <a:noFill/>
            </a:ln>
            <a:effectLst/>
          </c:spPr>
        </c:title>
        <c:numFmt formatCode="0.0%" sourceLinked="1"/>
        <c:maj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21059200"/>
        <c:crosses val="autoZero"/>
        <c:auto val="1"/>
        <c:lblAlgn val="ctr"/>
        <c:lblOffset val="100"/>
      </c:catAx>
      <c:valAx>
        <c:axId val="121059200"/>
        <c:scaling>
          <c:orientation val="minMax"/>
        </c:scaling>
        <c:axPos val="l"/>
        <c:majorGridlines>
          <c:spPr>
            <a:ln w="9525" cap="flat" cmpd="sng" algn="ctr">
              <a:solidFill>
                <a:schemeClr val="tx1">
                  <a:lumMod val="15000"/>
                  <a:lumOff val="85000"/>
                </a:schemeClr>
              </a:solidFill>
              <a:round/>
            </a:ln>
            <a:effectLst/>
          </c:spPr>
        </c:majorGridlines>
        <c:title>
          <c:tx>
            <c:strRef>
              <c:f>'Cow-calf'!$P$13</c:f>
              <c:strCache>
                <c:ptCount val="1"/>
                <c:pt idx="0">
                  <c:v>Feed Savings vs No Rum, $/hd</c:v>
                </c:pt>
              </c:strCache>
            </c:strRef>
          </c:tx>
          <c:layout>
            <c:manualLayout>
              <c:xMode val="edge"/>
              <c:yMode val="edge"/>
              <c:x val="1.0978068530907322E-2"/>
              <c:y val="0.24836907722061055"/>
            </c:manualLayout>
          </c:layout>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0" sourceLinked="0"/>
        <c:maj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21057280"/>
        <c:crosses val="autoZero"/>
        <c:crossBetween val="between"/>
      </c:valAx>
      <c:spPr>
        <a:noFill/>
        <a:ln>
          <a:noFill/>
        </a:ln>
        <a:effectLst/>
      </c:spPr>
    </c:plotArea>
    <c:legend>
      <c:legendPos val="r"/>
      <c:legendEntry>
        <c:idx val="0"/>
        <c:delete val="1"/>
      </c:legendEntry>
      <c:layout>
        <c:manualLayout>
          <c:xMode val="edge"/>
          <c:yMode val="edge"/>
          <c:x val="0.55477666443010432"/>
          <c:y val="0.50148328498411365"/>
          <c:w val="0.18134020254047198"/>
          <c:h val="0.23268752590136757"/>
        </c:manualLayout>
      </c:layout>
      <c:spPr>
        <a:solidFill>
          <a:schemeClr val="bg1"/>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19050" cap="flat" cmpd="sng" algn="ctr">
      <a:solidFill>
        <a:schemeClr val="tx1"/>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baseline="0">
                <a:solidFill>
                  <a:sysClr val="windowText" lastClr="000000"/>
                </a:solidFill>
              </a:rPr>
              <a:t>Net Feed Savings as Efficacy varies from 100%</a:t>
            </a:r>
            <a:endParaRPr lang="en-US" b="1">
              <a:solidFill>
                <a:sysClr val="windowText" lastClr="000000"/>
              </a:solidFill>
            </a:endParaRPr>
          </a:p>
        </c:rich>
      </c:tx>
      <c:layout>
        <c:manualLayout>
          <c:xMode val="edge"/>
          <c:yMode val="edge"/>
          <c:x val="0.15533625730994155"/>
          <c:y val="1.4619883040935675E-2"/>
        </c:manualLayout>
      </c:layout>
      <c:spPr>
        <a:noFill/>
        <a:ln>
          <a:noFill/>
        </a:ln>
        <a:effectLst/>
      </c:spPr>
    </c:title>
    <c:plotArea>
      <c:layout>
        <c:manualLayout>
          <c:layoutTarget val="inner"/>
          <c:xMode val="edge"/>
          <c:yMode val="edge"/>
          <c:x val="0.1373769479472961"/>
          <c:y val="0.15699480821476267"/>
          <c:w val="0.82009403429834449"/>
          <c:h val="0.67332964958327601"/>
        </c:manualLayout>
      </c:layout>
      <c:barChart>
        <c:barDir val="col"/>
        <c:grouping val="clustered"/>
        <c:ser>
          <c:idx val="0"/>
          <c:order val="0"/>
          <c:tx>
            <c:v>100% Price</c:v>
          </c:tx>
          <c:spPr>
            <a:solidFill>
              <a:srgbClr val="FF9933"/>
            </a:solidFill>
            <a:ln>
              <a:noFill/>
            </a:ln>
            <a:effectLst/>
          </c:spPr>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Val val="1"/>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Feedlot!$K$5:$O$5</c:f>
              <c:numCache>
                <c:formatCode>0.0%</c:formatCode>
                <c:ptCount val="5"/>
                <c:pt idx="0">
                  <c:v>0.89999999999999991</c:v>
                </c:pt>
                <c:pt idx="1">
                  <c:v>0.92499999999999993</c:v>
                </c:pt>
                <c:pt idx="2">
                  <c:v>0.95</c:v>
                </c:pt>
                <c:pt idx="3">
                  <c:v>0.97499999999999998</c:v>
                </c:pt>
                <c:pt idx="4">
                  <c:v>1</c:v>
                </c:pt>
              </c:numCache>
            </c:numRef>
          </c:cat>
          <c:val>
            <c:numRef>
              <c:f>Feedlot!$K$10:$O$10</c:f>
              <c:numCache>
                <c:formatCode>"$"#,##0.00</c:formatCode>
                <c:ptCount val="5"/>
                <c:pt idx="0">
                  <c:v>8.4636663428480574</c:v>
                </c:pt>
                <c:pt idx="1">
                  <c:v>8.8749090126118517</c:v>
                </c:pt>
                <c:pt idx="2">
                  <c:v>9.2861516823757597</c:v>
                </c:pt>
                <c:pt idx="3">
                  <c:v>9.6973943521396109</c:v>
                </c:pt>
                <c:pt idx="4">
                  <c:v>10.108637021903519</c:v>
                </c:pt>
              </c:numCache>
            </c:numRef>
          </c:val>
          <c:extLst xmlns:c16r2="http://schemas.microsoft.com/office/drawing/2015/06/chart">
            <c:ext xmlns:c16="http://schemas.microsoft.com/office/drawing/2014/chart" uri="{C3380CC4-5D6E-409C-BE32-E72D297353CC}">
              <c16:uniqueId val="{00000000-DD37-47C4-8A37-BA22798BFACC}"/>
            </c:ext>
          </c:extLst>
        </c:ser>
        <c:dLbls/>
        <c:gapWidth val="50"/>
        <c:axId val="155935872"/>
        <c:axId val="155937792"/>
      </c:barChart>
      <c:catAx>
        <c:axId val="155935872"/>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Relative</a:t>
                </a:r>
                <a:r>
                  <a:rPr lang="en-US" sz="1100" b="1" baseline="0">
                    <a:solidFill>
                      <a:sysClr val="windowText" lastClr="000000"/>
                    </a:solidFill>
                  </a:rPr>
                  <a:t> Efficacy</a:t>
                </a:r>
                <a:endParaRPr lang="en-US" sz="1100" b="1">
                  <a:solidFill>
                    <a:sysClr val="windowText" lastClr="000000"/>
                  </a:solidFill>
                </a:endParaRPr>
              </a:p>
            </c:rich>
          </c:tx>
          <c:layout>
            <c:manualLayout>
              <c:xMode val="edge"/>
              <c:yMode val="edge"/>
              <c:x val="0.4431472068789909"/>
              <c:y val="0.8926477529124649"/>
            </c:manualLayout>
          </c:layout>
          <c:spPr>
            <a:noFill/>
            <a:ln>
              <a:noFill/>
            </a:ln>
            <a:effectLst/>
          </c:spPr>
        </c:title>
        <c:numFmt formatCode="0.0%" sourceLinked="1"/>
        <c:maj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55937792"/>
        <c:crosses val="autoZero"/>
        <c:auto val="1"/>
        <c:lblAlgn val="ctr"/>
        <c:lblOffset val="100"/>
      </c:catAx>
      <c:valAx>
        <c:axId val="155937792"/>
        <c:scaling>
          <c:orientation val="minMax"/>
        </c:scaling>
        <c:axPos val="l"/>
        <c:majorGridlines>
          <c:spPr>
            <a:ln w="9525" cap="flat" cmpd="sng" algn="ctr">
              <a:solidFill>
                <a:schemeClr val="tx1">
                  <a:lumMod val="15000"/>
                  <a:lumOff val="85000"/>
                </a:schemeClr>
              </a:solidFill>
              <a:round/>
            </a:ln>
            <a:effectLst/>
          </c:spPr>
        </c:majorGridlines>
        <c:title>
          <c:tx>
            <c:strRef>
              <c:f>Feedlot!$J$13</c:f>
              <c:strCache>
                <c:ptCount val="1"/>
                <c:pt idx="0">
                  <c:v>Feed Savings vs No Rum, $/hd</c:v>
                </c:pt>
              </c:strCache>
            </c:strRef>
          </c:tx>
          <c:layout>
            <c:manualLayout>
              <c:xMode val="edge"/>
              <c:yMode val="edge"/>
              <c:x val="1.0978068530907322E-2"/>
              <c:y val="0.24836907722061055"/>
            </c:manualLayout>
          </c:layout>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0" sourceLinked="0"/>
        <c:maj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55935872"/>
        <c:crosses val="autoZero"/>
        <c:crossBetween val="between"/>
      </c:valAx>
      <c:spPr>
        <a:noFill/>
        <a:ln>
          <a:noFill/>
        </a:ln>
        <a:effectLst/>
      </c:spPr>
    </c:plotArea>
    <c:legend>
      <c:legendPos val="r"/>
      <c:legendEntry>
        <c:idx val="0"/>
        <c:delete val="1"/>
      </c:legendEntry>
      <c:layout>
        <c:manualLayout>
          <c:xMode val="edge"/>
          <c:yMode val="edge"/>
          <c:x val="0.55477666443010432"/>
          <c:y val="0.50148328498411365"/>
          <c:w val="0.18134020254047198"/>
          <c:h val="0.23268752590136757"/>
        </c:manualLayout>
      </c:layout>
      <c:spPr>
        <a:solidFill>
          <a:schemeClr val="bg1"/>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19050" cap="flat" cmpd="sng" algn="ctr">
      <a:solidFill>
        <a:schemeClr val="tx1"/>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baseline="0">
                <a:solidFill>
                  <a:sysClr val="windowText" lastClr="000000"/>
                </a:solidFill>
              </a:rPr>
              <a:t>Net Feed Savings as Efficacy varies from 100%</a:t>
            </a:r>
            <a:endParaRPr lang="en-US" b="1">
              <a:solidFill>
                <a:sysClr val="windowText" lastClr="000000"/>
              </a:solidFill>
            </a:endParaRPr>
          </a:p>
        </c:rich>
      </c:tx>
      <c:layout>
        <c:manualLayout>
          <c:xMode val="edge"/>
          <c:yMode val="edge"/>
          <c:x val="0.15533625730994155"/>
          <c:y val="1.4619883040935675E-2"/>
        </c:manualLayout>
      </c:layout>
      <c:spPr>
        <a:noFill/>
        <a:ln>
          <a:noFill/>
        </a:ln>
        <a:effectLst/>
      </c:spPr>
    </c:title>
    <c:plotArea>
      <c:layout>
        <c:manualLayout>
          <c:layoutTarget val="inner"/>
          <c:xMode val="edge"/>
          <c:yMode val="edge"/>
          <c:x val="0.1373769479472961"/>
          <c:y val="0.15333983745452873"/>
          <c:w val="0.82009403429834449"/>
          <c:h val="0.67698462034351004"/>
        </c:manualLayout>
      </c:layout>
      <c:barChart>
        <c:barDir val="col"/>
        <c:grouping val="clustered"/>
        <c:ser>
          <c:idx val="0"/>
          <c:order val="0"/>
          <c:tx>
            <c:v>100% Price</c:v>
          </c:tx>
          <c:spPr>
            <a:solidFill>
              <a:srgbClr val="FF993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Val val="1"/>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Feedlot!$K$24:$O$24</c:f>
              <c:numCache>
                <c:formatCode>0.0%</c:formatCode>
                <c:ptCount val="5"/>
                <c:pt idx="0">
                  <c:v>0.89999999999999991</c:v>
                </c:pt>
                <c:pt idx="1">
                  <c:v>0.92499999999999993</c:v>
                </c:pt>
                <c:pt idx="2">
                  <c:v>0.95</c:v>
                </c:pt>
                <c:pt idx="3">
                  <c:v>0.97499999999999998</c:v>
                </c:pt>
                <c:pt idx="4">
                  <c:v>1</c:v>
                </c:pt>
              </c:numCache>
            </c:numRef>
          </c:cat>
          <c:val>
            <c:numRef>
              <c:f>Feedlot!$K$29:$O$29</c:f>
              <c:numCache>
                <c:formatCode>"$"#,##0.00</c:formatCode>
                <c:ptCount val="5"/>
                <c:pt idx="0">
                  <c:v>11.391505162087697</c:v>
                </c:pt>
                <c:pt idx="1">
                  <c:v>11.942790296910573</c:v>
                </c:pt>
                <c:pt idx="2">
                  <c:v>12.494075431733393</c:v>
                </c:pt>
                <c:pt idx="3">
                  <c:v>13.045360566556212</c:v>
                </c:pt>
                <c:pt idx="4">
                  <c:v>13.596645701379146</c:v>
                </c:pt>
              </c:numCache>
            </c:numRef>
          </c:val>
          <c:extLst xmlns:c16r2="http://schemas.microsoft.com/office/drawing/2015/06/chart">
            <c:ext xmlns:c16="http://schemas.microsoft.com/office/drawing/2014/chart" uri="{C3380CC4-5D6E-409C-BE32-E72D297353CC}">
              <c16:uniqueId val="{00000000-87C8-4A9C-86A3-720FAD96D9BA}"/>
            </c:ext>
          </c:extLst>
        </c:ser>
        <c:dLbls/>
        <c:gapWidth val="50"/>
        <c:axId val="156228992"/>
        <c:axId val="156251648"/>
      </c:barChart>
      <c:catAx>
        <c:axId val="156228992"/>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Relative</a:t>
                </a:r>
                <a:r>
                  <a:rPr lang="en-US" sz="1100" b="1" baseline="0">
                    <a:solidFill>
                      <a:sysClr val="windowText" lastClr="000000"/>
                    </a:solidFill>
                  </a:rPr>
                  <a:t> Efficacy</a:t>
                </a:r>
                <a:endParaRPr lang="en-US" sz="1100" b="1">
                  <a:solidFill>
                    <a:sysClr val="windowText" lastClr="000000"/>
                  </a:solidFill>
                </a:endParaRPr>
              </a:p>
            </c:rich>
          </c:tx>
          <c:layout>
            <c:manualLayout>
              <c:xMode val="edge"/>
              <c:yMode val="edge"/>
              <c:x val="0.4431472068789909"/>
              <c:y val="0.8963027236726987"/>
            </c:manualLayout>
          </c:layout>
          <c:spPr>
            <a:noFill/>
            <a:ln>
              <a:noFill/>
            </a:ln>
            <a:effectLst/>
          </c:spPr>
        </c:title>
        <c:numFmt formatCode="0.0%" sourceLinked="1"/>
        <c:maj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56251648"/>
        <c:crosses val="autoZero"/>
        <c:auto val="1"/>
        <c:lblAlgn val="ctr"/>
        <c:lblOffset val="100"/>
      </c:catAx>
      <c:valAx>
        <c:axId val="156251648"/>
        <c:scaling>
          <c:orientation val="minMax"/>
        </c:scaling>
        <c:axPos val="l"/>
        <c:majorGridlines>
          <c:spPr>
            <a:ln w="9525" cap="flat" cmpd="sng" algn="ctr">
              <a:solidFill>
                <a:schemeClr val="tx1">
                  <a:lumMod val="15000"/>
                  <a:lumOff val="85000"/>
                </a:schemeClr>
              </a:solidFill>
              <a:round/>
            </a:ln>
            <a:effectLst/>
          </c:spPr>
        </c:majorGridlines>
        <c:title>
          <c:tx>
            <c:strRef>
              <c:f>Feedlot!$J$13</c:f>
              <c:strCache>
                <c:ptCount val="1"/>
                <c:pt idx="0">
                  <c:v>Feed Savings vs No Rum, $/hd</c:v>
                </c:pt>
              </c:strCache>
            </c:strRef>
          </c:tx>
          <c:layout>
            <c:manualLayout>
              <c:xMode val="edge"/>
              <c:yMode val="edge"/>
              <c:x val="1.0978068530907322E-2"/>
              <c:y val="0.24836907722061055"/>
            </c:manualLayout>
          </c:layout>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0" sourceLinked="0"/>
        <c:maj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56228992"/>
        <c:crosses val="autoZero"/>
        <c:crossBetween val="between"/>
      </c:valAx>
      <c:spPr>
        <a:noFill/>
        <a:ln>
          <a:noFill/>
        </a:ln>
        <a:effectLst/>
      </c:spPr>
    </c:plotArea>
    <c:legend>
      <c:legendPos val="r"/>
      <c:legendEntry>
        <c:idx val="0"/>
        <c:delete val="1"/>
      </c:legendEntry>
      <c:layout>
        <c:manualLayout>
          <c:xMode val="edge"/>
          <c:yMode val="edge"/>
          <c:x val="0.55477666443010432"/>
          <c:y val="0.50148328498411365"/>
          <c:w val="0.18134020254047198"/>
          <c:h val="0.23268752590136757"/>
        </c:manualLayout>
      </c:layout>
      <c:spPr>
        <a:solidFill>
          <a:schemeClr val="bg1"/>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19050" cap="flat" cmpd="sng" algn="ctr">
      <a:solidFill>
        <a:schemeClr val="tx1"/>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strRef>
          <c:f>ValueOfGain!$H$5</c:f>
          <c:strCache>
            <c:ptCount val="1"/>
            <c:pt idx="0">
              <c:v>Price Slide for Feeder Cattle in Western KS (675 - 725 lbs)</c:v>
            </c:pt>
          </c:strCache>
        </c:strRef>
      </c:tx>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plotArea>
      <c:layout>
        <c:manualLayout>
          <c:layoutTarget val="inner"/>
          <c:xMode val="edge"/>
          <c:yMode val="edge"/>
          <c:x val="9.8270844136637572E-2"/>
          <c:y val="0.10471693428313758"/>
          <c:w val="0.86627690728337781"/>
          <c:h val="0.70696107286611087"/>
        </c:manualLayout>
      </c:layout>
      <c:lineChart>
        <c:grouping val="standard"/>
        <c:ser>
          <c:idx val="0"/>
          <c:order val="0"/>
          <c:tx>
            <c:strRef>
              <c:f>ValueOfGain!$AK$4</c:f>
              <c:strCache>
                <c:ptCount val="1"/>
                <c:pt idx="0">
                  <c:v>Steers (Avg=$6.19)</c:v>
                </c:pt>
              </c:strCache>
            </c:strRef>
          </c:tx>
          <c:spPr>
            <a:ln w="22225" cap="rnd">
              <a:solidFill>
                <a:srgbClr val="00B0F0"/>
              </a:solidFill>
              <a:round/>
            </a:ln>
            <a:effectLst/>
          </c:spPr>
          <c:marker>
            <c:symbol val="circle"/>
            <c:size val="4"/>
            <c:spPr>
              <a:solidFill>
                <a:srgbClr val="0070C0"/>
              </a:solidFill>
              <a:ln w="9525">
                <a:noFill/>
              </a:ln>
              <a:effectLst/>
            </c:spPr>
          </c:marker>
          <c:cat>
            <c:numRef>
              <c:f>ValueOfGain!$AB$9:$AB$344</c:f>
              <c:numCache>
                <c:formatCode>[$-409]mmm\-yy;@</c:formatCode>
                <c:ptCount val="336"/>
                <c:pt idx="0">
                  <c:v>33604</c:v>
                </c:pt>
                <c:pt idx="1">
                  <c:v>33635</c:v>
                </c:pt>
                <c:pt idx="2">
                  <c:v>33664</c:v>
                </c:pt>
                <c:pt idx="3">
                  <c:v>33695</c:v>
                </c:pt>
                <c:pt idx="4">
                  <c:v>33725</c:v>
                </c:pt>
                <c:pt idx="5">
                  <c:v>33756</c:v>
                </c:pt>
                <c:pt idx="6">
                  <c:v>33786</c:v>
                </c:pt>
                <c:pt idx="7">
                  <c:v>33817</c:v>
                </c:pt>
                <c:pt idx="8">
                  <c:v>33848</c:v>
                </c:pt>
                <c:pt idx="9">
                  <c:v>33878</c:v>
                </c:pt>
                <c:pt idx="10">
                  <c:v>33909</c:v>
                </c:pt>
                <c:pt idx="11">
                  <c:v>33939</c:v>
                </c:pt>
                <c:pt idx="12">
                  <c:v>33970</c:v>
                </c:pt>
                <c:pt idx="13">
                  <c:v>34001</c:v>
                </c:pt>
                <c:pt idx="14">
                  <c:v>34029</c:v>
                </c:pt>
                <c:pt idx="15">
                  <c:v>34060</c:v>
                </c:pt>
                <c:pt idx="16">
                  <c:v>34090</c:v>
                </c:pt>
                <c:pt idx="17">
                  <c:v>34121</c:v>
                </c:pt>
                <c:pt idx="18">
                  <c:v>34151</c:v>
                </c:pt>
                <c:pt idx="19">
                  <c:v>34182</c:v>
                </c:pt>
                <c:pt idx="20">
                  <c:v>34213</c:v>
                </c:pt>
                <c:pt idx="21">
                  <c:v>34243</c:v>
                </c:pt>
                <c:pt idx="22">
                  <c:v>34274</c:v>
                </c:pt>
                <c:pt idx="23">
                  <c:v>34304</c:v>
                </c:pt>
                <c:pt idx="24">
                  <c:v>34335</c:v>
                </c:pt>
                <c:pt idx="25">
                  <c:v>34366</c:v>
                </c:pt>
                <c:pt idx="26">
                  <c:v>34394</c:v>
                </c:pt>
                <c:pt idx="27">
                  <c:v>34425</c:v>
                </c:pt>
                <c:pt idx="28">
                  <c:v>34455</c:v>
                </c:pt>
                <c:pt idx="29">
                  <c:v>34486</c:v>
                </c:pt>
                <c:pt idx="30">
                  <c:v>34516</c:v>
                </c:pt>
                <c:pt idx="31">
                  <c:v>34547</c:v>
                </c:pt>
                <c:pt idx="32">
                  <c:v>34578</c:v>
                </c:pt>
                <c:pt idx="33">
                  <c:v>34608</c:v>
                </c:pt>
                <c:pt idx="34">
                  <c:v>34639</c:v>
                </c:pt>
                <c:pt idx="35">
                  <c:v>34669</c:v>
                </c:pt>
                <c:pt idx="36">
                  <c:v>34700</c:v>
                </c:pt>
                <c:pt idx="37">
                  <c:v>34731</c:v>
                </c:pt>
                <c:pt idx="38">
                  <c:v>34759</c:v>
                </c:pt>
                <c:pt idx="39">
                  <c:v>34790</c:v>
                </c:pt>
                <c:pt idx="40">
                  <c:v>34820</c:v>
                </c:pt>
                <c:pt idx="41">
                  <c:v>34851</c:v>
                </c:pt>
                <c:pt idx="42">
                  <c:v>34881</c:v>
                </c:pt>
                <c:pt idx="43">
                  <c:v>34912</c:v>
                </c:pt>
                <c:pt idx="44">
                  <c:v>34943</c:v>
                </c:pt>
                <c:pt idx="45">
                  <c:v>34973</c:v>
                </c:pt>
                <c:pt idx="46">
                  <c:v>35004</c:v>
                </c:pt>
                <c:pt idx="47">
                  <c:v>35034</c:v>
                </c:pt>
                <c:pt idx="48">
                  <c:v>35065</c:v>
                </c:pt>
                <c:pt idx="49">
                  <c:v>35096</c:v>
                </c:pt>
                <c:pt idx="50">
                  <c:v>35125</c:v>
                </c:pt>
                <c:pt idx="51">
                  <c:v>35156</c:v>
                </c:pt>
                <c:pt idx="52">
                  <c:v>35186</c:v>
                </c:pt>
                <c:pt idx="53">
                  <c:v>35217</c:v>
                </c:pt>
                <c:pt idx="54">
                  <c:v>35247</c:v>
                </c:pt>
                <c:pt idx="55">
                  <c:v>35278</c:v>
                </c:pt>
                <c:pt idx="56">
                  <c:v>35309</c:v>
                </c:pt>
                <c:pt idx="57">
                  <c:v>35339</c:v>
                </c:pt>
                <c:pt idx="58">
                  <c:v>35370</c:v>
                </c:pt>
                <c:pt idx="59">
                  <c:v>35400</c:v>
                </c:pt>
                <c:pt idx="60">
                  <c:v>35431</c:v>
                </c:pt>
                <c:pt idx="61">
                  <c:v>35462</c:v>
                </c:pt>
                <c:pt idx="62">
                  <c:v>35490</c:v>
                </c:pt>
                <c:pt idx="63">
                  <c:v>35521</c:v>
                </c:pt>
                <c:pt idx="64">
                  <c:v>35551</c:v>
                </c:pt>
                <c:pt idx="65">
                  <c:v>35582</c:v>
                </c:pt>
                <c:pt idx="66">
                  <c:v>35612</c:v>
                </c:pt>
                <c:pt idx="67">
                  <c:v>35643</c:v>
                </c:pt>
                <c:pt idx="68">
                  <c:v>35674</c:v>
                </c:pt>
                <c:pt idx="69">
                  <c:v>35704</c:v>
                </c:pt>
                <c:pt idx="70">
                  <c:v>35735</c:v>
                </c:pt>
                <c:pt idx="71">
                  <c:v>35765</c:v>
                </c:pt>
                <c:pt idx="72">
                  <c:v>35796</c:v>
                </c:pt>
                <c:pt idx="73">
                  <c:v>35827</c:v>
                </c:pt>
                <c:pt idx="74">
                  <c:v>35855</c:v>
                </c:pt>
                <c:pt idx="75">
                  <c:v>35886</c:v>
                </c:pt>
                <c:pt idx="76">
                  <c:v>35916</c:v>
                </c:pt>
                <c:pt idx="77">
                  <c:v>35947</c:v>
                </c:pt>
                <c:pt idx="78">
                  <c:v>35977</c:v>
                </c:pt>
                <c:pt idx="79">
                  <c:v>36008</c:v>
                </c:pt>
                <c:pt idx="80">
                  <c:v>36039</c:v>
                </c:pt>
                <c:pt idx="81">
                  <c:v>36069</c:v>
                </c:pt>
                <c:pt idx="82">
                  <c:v>36100</c:v>
                </c:pt>
                <c:pt idx="83">
                  <c:v>36130</c:v>
                </c:pt>
                <c:pt idx="84">
                  <c:v>36161</c:v>
                </c:pt>
                <c:pt idx="85">
                  <c:v>36192</c:v>
                </c:pt>
                <c:pt idx="86">
                  <c:v>36220</c:v>
                </c:pt>
                <c:pt idx="87">
                  <c:v>36251</c:v>
                </c:pt>
                <c:pt idx="88">
                  <c:v>36281</c:v>
                </c:pt>
                <c:pt idx="89">
                  <c:v>36312</c:v>
                </c:pt>
                <c:pt idx="90">
                  <c:v>36342</c:v>
                </c:pt>
                <c:pt idx="91">
                  <c:v>36373</c:v>
                </c:pt>
                <c:pt idx="92">
                  <c:v>36404</c:v>
                </c:pt>
                <c:pt idx="93">
                  <c:v>36434</c:v>
                </c:pt>
                <c:pt idx="94">
                  <c:v>36465</c:v>
                </c:pt>
                <c:pt idx="95">
                  <c:v>36495</c:v>
                </c:pt>
                <c:pt idx="96">
                  <c:v>36526</c:v>
                </c:pt>
                <c:pt idx="97">
                  <c:v>36557</c:v>
                </c:pt>
                <c:pt idx="98">
                  <c:v>36586</c:v>
                </c:pt>
                <c:pt idx="99">
                  <c:v>36617</c:v>
                </c:pt>
                <c:pt idx="100">
                  <c:v>36647</c:v>
                </c:pt>
                <c:pt idx="101">
                  <c:v>36678</c:v>
                </c:pt>
                <c:pt idx="102">
                  <c:v>36708</c:v>
                </c:pt>
                <c:pt idx="103">
                  <c:v>36739</c:v>
                </c:pt>
                <c:pt idx="104">
                  <c:v>36770</c:v>
                </c:pt>
                <c:pt idx="105">
                  <c:v>36800</c:v>
                </c:pt>
                <c:pt idx="106">
                  <c:v>36831</c:v>
                </c:pt>
                <c:pt idx="107">
                  <c:v>36861</c:v>
                </c:pt>
                <c:pt idx="108">
                  <c:v>36892</c:v>
                </c:pt>
                <c:pt idx="109">
                  <c:v>36923</c:v>
                </c:pt>
                <c:pt idx="110">
                  <c:v>36951</c:v>
                </c:pt>
                <c:pt idx="111">
                  <c:v>36982</c:v>
                </c:pt>
                <c:pt idx="112">
                  <c:v>37012</c:v>
                </c:pt>
                <c:pt idx="113">
                  <c:v>37043</c:v>
                </c:pt>
                <c:pt idx="114">
                  <c:v>37073</c:v>
                </c:pt>
                <c:pt idx="115">
                  <c:v>37104</c:v>
                </c:pt>
                <c:pt idx="116">
                  <c:v>37135</c:v>
                </c:pt>
                <c:pt idx="117">
                  <c:v>37165</c:v>
                </c:pt>
                <c:pt idx="118">
                  <c:v>37196</c:v>
                </c:pt>
                <c:pt idx="119">
                  <c:v>37226</c:v>
                </c:pt>
                <c:pt idx="120">
                  <c:v>37257</c:v>
                </c:pt>
                <c:pt idx="121">
                  <c:v>37288</c:v>
                </c:pt>
                <c:pt idx="122">
                  <c:v>37316</c:v>
                </c:pt>
                <c:pt idx="123">
                  <c:v>37347</c:v>
                </c:pt>
                <c:pt idx="124">
                  <c:v>37377</c:v>
                </c:pt>
                <c:pt idx="125">
                  <c:v>37408</c:v>
                </c:pt>
                <c:pt idx="126">
                  <c:v>37438</c:v>
                </c:pt>
                <c:pt idx="127">
                  <c:v>37469</c:v>
                </c:pt>
                <c:pt idx="128">
                  <c:v>37500</c:v>
                </c:pt>
                <c:pt idx="129">
                  <c:v>37530</c:v>
                </c:pt>
                <c:pt idx="130">
                  <c:v>37561</c:v>
                </c:pt>
                <c:pt idx="131">
                  <c:v>37591</c:v>
                </c:pt>
                <c:pt idx="132">
                  <c:v>37622</c:v>
                </c:pt>
                <c:pt idx="133">
                  <c:v>37653</c:v>
                </c:pt>
                <c:pt idx="134">
                  <c:v>37681</c:v>
                </c:pt>
                <c:pt idx="135">
                  <c:v>37712</c:v>
                </c:pt>
                <c:pt idx="136">
                  <c:v>37742</c:v>
                </c:pt>
                <c:pt idx="137">
                  <c:v>37773</c:v>
                </c:pt>
                <c:pt idx="138">
                  <c:v>37803</c:v>
                </c:pt>
                <c:pt idx="139">
                  <c:v>37834</c:v>
                </c:pt>
                <c:pt idx="140">
                  <c:v>37865</c:v>
                </c:pt>
                <c:pt idx="141">
                  <c:v>37895</c:v>
                </c:pt>
                <c:pt idx="142">
                  <c:v>37926</c:v>
                </c:pt>
                <c:pt idx="143">
                  <c:v>37956</c:v>
                </c:pt>
                <c:pt idx="144">
                  <c:v>37987</c:v>
                </c:pt>
                <c:pt idx="145">
                  <c:v>38018</c:v>
                </c:pt>
                <c:pt idx="146">
                  <c:v>38047</c:v>
                </c:pt>
                <c:pt idx="147">
                  <c:v>38078</c:v>
                </c:pt>
                <c:pt idx="148">
                  <c:v>38108</c:v>
                </c:pt>
                <c:pt idx="149">
                  <c:v>38139</c:v>
                </c:pt>
                <c:pt idx="150">
                  <c:v>38169</c:v>
                </c:pt>
                <c:pt idx="151">
                  <c:v>38200</c:v>
                </c:pt>
                <c:pt idx="152">
                  <c:v>38231</c:v>
                </c:pt>
                <c:pt idx="153">
                  <c:v>38261</c:v>
                </c:pt>
                <c:pt idx="154">
                  <c:v>38292</c:v>
                </c:pt>
                <c:pt idx="155">
                  <c:v>38322</c:v>
                </c:pt>
                <c:pt idx="156">
                  <c:v>38353</c:v>
                </c:pt>
                <c:pt idx="157">
                  <c:v>38384</c:v>
                </c:pt>
                <c:pt idx="158">
                  <c:v>38412</c:v>
                </c:pt>
                <c:pt idx="159">
                  <c:v>38443</c:v>
                </c:pt>
                <c:pt idx="160">
                  <c:v>38473</c:v>
                </c:pt>
                <c:pt idx="161">
                  <c:v>38504</c:v>
                </c:pt>
                <c:pt idx="162">
                  <c:v>38534</c:v>
                </c:pt>
                <c:pt idx="163">
                  <c:v>38565</c:v>
                </c:pt>
                <c:pt idx="164">
                  <c:v>38596</c:v>
                </c:pt>
                <c:pt idx="165">
                  <c:v>38626</c:v>
                </c:pt>
                <c:pt idx="166">
                  <c:v>38657</c:v>
                </c:pt>
                <c:pt idx="167">
                  <c:v>38687</c:v>
                </c:pt>
                <c:pt idx="168">
                  <c:v>38718</c:v>
                </c:pt>
                <c:pt idx="169">
                  <c:v>38749</c:v>
                </c:pt>
                <c:pt idx="170">
                  <c:v>38777</c:v>
                </c:pt>
                <c:pt idx="171">
                  <c:v>38808</c:v>
                </c:pt>
                <c:pt idx="172">
                  <c:v>38838</c:v>
                </c:pt>
                <c:pt idx="173">
                  <c:v>38869</c:v>
                </c:pt>
                <c:pt idx="174">
                  <c:v>38899</c:v>
                </c:pt>
                <c:pt idx="175">
                  <c:v>38930</c:v>
                </c:pt>
                <c:pt idx="176">
                  <c:v>38961</c:v>
                </c:pt>
                <c:pt idx="177">
                  <c:v>38991</c:v>
                </c:pt>
                <c:pt idx="178">
                  <c:v>39022</c:v>
                </c:pt>
                <c:pt idx="179">
                  <c:v>39052</c:v>
                </c:pt>
                <c:pt idx="180">
                  <c:v>39083</c:v>
                </c:pt>
                <c:pt idx="181">
                  <c:v>39114</c:v>
                </c:pt>
                <c:pt idx="182">
                  <c:v>39142</c:v>
                </c:pt>
                <c:pt idx="183">
                  <c:v>39173</c:v>
                </c:pt>
                <c:pt idx="184">
                  <c:v>39203</c:v>
                </c:pt>
                <c:pt idx="185">
                  <c:v>39234</c:v>
                </c:pt>
                <c:pt idx="186">
                  <c:v>39264</c:v>
                </c:pt>
                <c:pt idx="187">
                  <c:v>39295</c:v>
                </c:pt>
                <c:pt idx="188">
                  <c:v>39326</c:v>
                </c:pt>
                <c:pt idx="189">
                  <c:v>39356</c:v>
                </c:pt>
                <c:pt idx="190">
                  <c:v>39387</c:v>
                </c:pt>
                <c:pt idx="191">
                  <c:v>39417</c:v>
                </c:pt>
                <c:pt idx="192">
                  <c:v>39448</c:v>
                </c:pt>
                <c:pt idx="193">
                  <c:v>39479</c:v>
                </c:pt>
                <c:pt idx="194">
                  <c:v>39508</c:v>
                </c:pt>
                <c:pt idx="195">
                  <c:v>39539</c:v>
                </c:pt>
                <c:pt idx="196">
                  <c:v>39569</c:v>
                </c:pt>
                <c:pt idx="197">
                  <c:v>39600</c:v>
                </c:pt>
                <c:pt idx="198">
                  <c:v>39630</c:v>
                </c:pt>
                <c:pt idx="199">
                  <c:v>39661</c:v>
                </c:pt>
                <c:pt idx="200">
                  <c:v>39692</c:v>
                </c:pt>
                <c:pt idx="201">
                  <c:v>39722</c:v>
                </c:pt>
                <c:pt idx="202">
                  <c:v>39753</c:v>
                </c:pt>
                <c:pt idx="203">
                  <c:v>39783</c:v>
                </c:pt>
                <c:pt idx="204">
                  <c:v>39814</c:v>
                </c:pt>
                <c:pt idx="205">
                  <c:v>39845</c:v>
                </c:pt>
                <c:pt idx="206">
                  <c:v>39873</c:v>
                </c:pt>
                <c:pt idx="207">
                  <c:v>39904</c:v>
                </c:pt>
                <c:pt idx="208">
                  <c:v>39934</c:v>
                </c:pt>
                <c:pt idx="209">
                  <c:v>39965</c:v>
                </c:pt>
                <c:pt idx="210">
                  <c:v>39995</c:v>
                </c:pt>
                <c:pt idx="211">
                  <c:v>40026</c:v>
                </c:pt>
                <c:pt idx="212">
                  <c:v>40057</c:v>
                </c:pt>
                <c:pt idx="213">
                  <c:v>40087</c:v>
                </c:pt>
                <c:pt idx="214">
                  <c:v>40118</c:v>
                </c:pt>
                <c:pt idx="215">
                  <c:v>40148</c:v>
                </c:pt>
                <c:pt idx="216">
                  <c:v>40179</c:v>
                </c:pt>
                <c:pt idx="217">
                  <c:v>40210</c:v>
                </c:pt>
                <c:pt idx="218">
                  <c:v>40238</c:v>
                </c:pt>
                <c:pt idx="219">
                  <c:v>40269</c:v>
                </c:pt>
                <c:pt idx="220">
                  <c:v>40299</c:v>
                </c:pt>
                <c:pt idx="221">
                  <c:v>40330</c:v>
                </c:pt>
                <c:pt idx="222">
                  <c:v>40360</c:v>
                </c:pt>
                <c:pt idx="223">
                  <c:v>40391</c:v>
                </c:pt>
                <c:pt idx="224">
                  <c:v>40422</c:v>
                </c:pt>
                <c:pt idx="225">
                  <c:v>40452</c:v>
                </c:pt>
                <c:pt idx="226">
                  <c:v>40483</c:v>
                </c:pt>
                <c:pt idx="227">
                  <c:v>40513</c:v>
                </c:pt>
                <c:pt idx="228">
                  <c:v>40544</c:v>
                </c:pt>
                <c:pt idx="229">
                  <c:v>40575</c:v>
                </c:pt>
                <c:pt idx="230">
                  <c:v>40603</c:v>
                </c:pt>
                <c:pt idx="231">
                  <c:v>40634</c:v>
                </c:pt>
                <c:pt idx="232">
                  <c:v>40664</c:v>
                </c:pt>
                <c:pt idx="233">
                  <c:v>40695</c:v>
                </c:pt>
                <c:pt idx="234">
                  <c:v>40725</c:v>
                </c:pt>
                <c:pt idx="235">
                  <c:v>40756</c:v>
                </c:pt>
                <c:pt idx="236">
                  <c:v>40787</c:v>
                </c:pt>
                <c:pt idx="237">
                  <c:v>40817</c:v>
                </c:pt>
                <c:pt idx="238">
                  <c:v>40848</c:v>
                </c:pt>
                <c:pt idx="239">
                  <c:v>40878</c:v>
                </c:pt>
                <c:pt idx="240">
                  <c:v>40909</c:v>
                </c:pt>
                <c:pt idx="241">
                  <c:v>40940</c:v>
                </c:pt>
                <c:pt idx="242">
                  <c:v>40969</c:v>
                </c:pt>
                <c:pt idx="243">
                  <c:v>41000</c:v>
                </c:pt>
                <c:pt idx="244">
                  <c:v>41030</c:v>
                </c:pt>
                <c:pt idx="245">
                  <c:v>41061</c:v>
                </c:pt>
                <c:pt idx="246">
                  <c:v>41091</c:v>
                </c:pt>
                <c:pt idx="247">
                  <c:v>41122</c:v>
                </c:pt>
                <c:pt idx="248">
                  <c:v>41153</c:v>
                </c:pt>
                <c:pt idx="249">
                  <c:v>41183</c:v>
                </c:pt>
                <c:pt idx="250">
                  <c:v>41214</c:v>
                </c:pt>
                <c:pt idx="251">
                  <c:v>41244</c:v>
                </c:pt>
                <c:pt idx="252">
                  <c:v>41275</c:v>
                </c:pt>
                <c:pt idx="253">
                  <c:v>41306</c:v>
                </c:pt>
                <c:pt idx="254">
                  <c:v>41334</c:v>
                </c:pt>
                <c:pt idx="255">
                  <c:v>41365</c:v>
                </c:pt>
                <c:pt idx="256">
                  <c:v>41395</c:v>
                </c:pt>
                <c:pt idx="257">
                  <c:v>41426</c:v>
                </c:pt>
                <c:pt idx="258">
                  <c:v>41456</c:v>
                </c:pt>
                <c:pt idx="259">
                  <c:v>41487</c:v>
                </c:pt>
                <c:pt idx="260">
                  <c:v>41518</c:v>
                </c:pt>
                <c:pt idx="261">
                  <c:v>41548</c:v>
                </c:pt>
                <c:pt idx="262">
                  <c:v>41579</c:v>
                </c:pt>
                <c:pt idx="263">
                  <c:v>41609</c:v>
                </c:pt>
                <c:pt idx="264">
                  <c:v>41640</c:v>
                </c:pt>
                <c:pt idx="265">
                  <c:v>41671</c:v>
                </c:pt>
                <c:pt idx="266">
                  <c:v>41699</c:v>
                </c:pt>
                <c:pt idx="267">
                  <c:v>41730</c:v>
                </c:pt>
                <c:pt idx="268">
                  <c:v>41760</c:v>
                </c:pt>
                <c:pt idx="269">
                  <c:v>41791</c:v>
                </c:pt>
                <c:pt idx="270">
                  <c:v>41821</c:v>
                </c:pt>
                <c:pt idx="271">
                  <c:v>41852</c:v>
                </c:pt>
                <c:pt idx="272">
                  <c:v>41883</c:v>
                </c:pt>
                <c:pt idx="273">
                  <c:v>41913</c:v>
                </c:pt>
                <c:pt idx="274">
                  <c:v>41944</c:v>
                </c:pt>
                <c:pt idx="275">
                  <c:v>41974</c:v>
                </c:pt>
                <c:pt idx="276">
                  <c:v>42005</c:v>
                </c:pt>
                <c:pt idx="277">
                  <c:v>42036</c:v>
                </c:pt>
                <c:pt idx="278">
                  <c:v>42064</c:v>
                </c:pt>
                <c:pt idx="279">
                  <c:v>42095</c:v>
                </c:pt>
                <c:pt idx="280">
                  <c:v>42125</c:v>
                </c:pt>
                <c:pt idx="281">
                  <c:v>42156</c:v>
                </c:pt>
                <c:pt idx="282">
                  <c:v>42186</c:v>
                </c:pt>
                <c:pt idx="283">
                  <c:v>42217</c:v>
                </c:pt>
                <c:pt idx="284">
                  <c:v>42248</c:v>
                </c:pt>
                <c:pt idx="285">
                  <c:v>42278</c:v>
                </c:pt>
                <c:pt idx="286">
                  <c:v>42309</c:v>
                </c:pt>
                <c:pt idx="287">
                  <c:v>42339</c:v>
                </c:pt>
                <c:pt idx="288">
                  <c:v>42370</c:v>
                </c:pt>
                <c:pt idx="289">
                  <c:v>42401</c:v>
                </c:pt>
                <c:pt idx="290">
                  <c:v>42430</c:v>
                </c:pt>
                <c:pt idx="291">
                  <c:v>42461</c:v>
                </c:pt>
                <c:pt idx="292">
                  <c:v>42491</c:v>
                </c:pt>
                <c:pt idx="293">
                  <c:v>42522</c:v>
                </c:pt>
                <c:pt idx="294">
                  <c:v>42552</c:v>
                </c:pt>
                <c:pt idx="295">
                  <c:v>42583</c:v>
                </c:pt>
                <c:pt idx="296">
                  <c:v>42614</c:v>
                </c:pt>
                <c:pt idx="297">
                  <c:v>42644</c:v>
                </c:pt>
                <c:pt idx="298">
                  <c:v>42675</c:v>
                </c:pt>
                <c:pt idx="299">
                  <c:v>42705</c:v>
                </c:pt>
                <c:pt idx="300">
                  <c:v>42736</c:v>
                </c:pt>
                <c:pt idx="301">
                  <c:v>42767</c:v>
                </c:pt>
                <c:pt idx="302">
                  <c:v>42795</c:v>
                </c:pt>
                <c:pt idx="303">
                  <c:v>42826</c:v>
                </c:pt>
                <c:pt idx="304">
                  <c:v>42856</c:v>
                </c:pt>
                <c:pt idx="305">
                  <c:v>42887</c:v>
                </c:pt>
                <c:pt idx="306">
                  <c:v>42917</c:v>
                </c:pt>
                <c:pt idx="307">
                  <c:v>42948</c:v>
                </c:pt>
                <c:pt idx="308">
                  <c:v>42979</c:v>
                </c:pt>
                <c:pt idx="309">
                  <c:v>43009</c:v>
                </c:pt>
                <c:pt idx="310">
                  <c:v>43040</c:v>
                </c:pt>
                <c:pt idx="311">
                  <c:v>43070</c:v>
                </c:pt>
                <c:pt idx="312">
                  <c:v>43101</c:v>
                </c:pt>
                <c:pt idx="313">
                  <c:v>43132</c:v>
                </c:pt>
                <c:pt idx="314">
                  <c:v>43160</c:v>
                </c:pt>
                <c:pt idx="315">
                  <c:v>43191</c:v>
                </c:pt>
                <c:pt idx="316">
                  <c:v>43221</c:v>
                </c:pt>
                <c:pt idx="317">
                  <c:v>43252</c:v>
                </c:pt>
                <c:pt idx="318">
                  <c:v>43282</c:v>
                </c:pt>
                <c:pt idx="319">
                  <c:v>43313</c:v>
                </c:pt>
                <c:pt idx="320">
                  <c:v>43344</c:v>
                </c:pt>
                <c:pt idx="321">
                  <c:v>43374</c:v>
                </c:pt>
                <c:pt idx="322">
                  <c:v>43405</c:v>
                </c:pt>
                <c:pt idx="323">
                  <c:v>43435</c:v>
                </c:pt>
                <c:pt idx="324">
                  <c:v>43466</c:v>
                </c:pt>
                <c:pt idx="325">
                  <c:v>43497</c:v>
                </c:pt>
                <c:pt idx="326">
                  <c:v>43525</c:v>
                </c:pt>
                <c:pt idx="327">
                  <c:v>43556</c:v>
                </c:pt>
                <c:pt idx="328">
                  <c:v>43586</c:v>
                </c:pt>
                <c:pt idx="329">
                  <c:v>43617</c:v>
                </c:pt>
                <c:pt idx="330">
                  <c:v>43647</c:v>
                </c:pt>
                <c:pt idx="331">
                  <c:v>43678</c:v>
                </c:pt>
                <c:pt idx="332">
                  <c:v>43709</c:v>
                </c:pt>
                <c:pt idx="333">
                  <c:v>43739</c:v>
                </c:pt>
                <c:pt idx="334">
                  <c:v>43770</c:v>
                </c:pt>
                <c:pt idx="335">
                  <c:v>43800</c:v>
                </c:pt>
              </c:numCache>
            </c:numRef>
          </c:cat>
          <c:val>
            <c:numRef>
              <c:f>ValueOfGain!$AK$9:$AK$344</c:f>
              <c:numCache>
                <c:formatCode>General</c:formatCode>
                <c:ptCount val="336"/>
                <c:pt idx="0">
                  <c:v>3.733037878787826</c:v>
                </c:pt>
                <c:pt idx="1">
                  <c:v>4.0579848484848355</c:v>
                </c:pt>
                <c:pt idx="2">
                  <c:v>4.5233005050505426</c:v>
                </c:pt>
                <c:pt idx="3">
                  <c:v>5.7062909090909386</c:v>
                </c:pt>
                <c:pt idx="4">
                  <c:v>4.7162121212120951</c:v>
                </c:pt>
                <c:pt idx="5">
                  <c:v>4.293472222222249</c:v>
                </c:pt>
                <c:pt idx="6">
                  <c:v>3.030860606060628</c:v>
                </c:pt>
                <c:pt idx="7">
                  <c:v>3.2701818181818396</c:v>
                </c:pt>
                <c:pt idx="8">
                  <c:v>2.9624484848484656</c:v>
                </c:pt>
                <c:pt idx="9">
                  <c:v>2.2463484848485109</c:v>
                </c:pt>
                <c:pt idx="10">
                  <c:v>2.1849191919191924</c:v>
                </c:pt>
                <c:pt idx="11">
                  <c:v>2.349121212121247</c:v>
                </c:pt>
                <c:pt idx="12">
                  <c:v>2.6564924242424581</c:v>
                </c:pt>
                <c:pt idx="13">
                  <c:v>3.9245606060605951</c:v>
                </c:pt>
                <c:pt idx="14">
                  <c:v>5.4633681818181685</c:v>
                </c:pt>
                <c:pt idx="15">
                  <c:v>5.5129469696969693</c:v>
                </c:pt>
                <c:pt idx="16">
                  <c:v>5.574371212121207</c:v>
                </c:pt>
                <c:pt idx="17">
                  <c:v>4.2983000000000402</c:v>
                </c:pt>
                <c:pt idx="18">
                  <c:v>3.3140376895723875</c:v>
                </c:pt>
                <c:pt idx="19">
                  <c:v>2.9108787878788007</c:v>
                </c:pt>
                <c:pt idx="20">
                  <c:v>3.0708424242424428</c:v>
                </c:pt>
                <c:pt idx="21">
                  <c:v>3.4555757575757582</c:v>
                </c:pt>
                <c:pt idx="22">
                  <c:v>2.9801060606060901</c:v>
                </c:pt>
                <c:pt idx="23">
                  <c:v>3.3973878787878675</c:v>
                </c:pt>
                <c:pt idx="24">
                  <c:v>3.5663030303030041</c:v>
                </c:pt>
                <c:pt idx="25">
                  <c:v>4.0023181818181968</c:v>
                </c:pt>
                <c:pt idx="26">
                  <c:v>5.5389636363636328</c:v>
                </c:pt>
                <c:pt idx="27">
                  <c:v>5.8059469696969472</c:v>
                </c:pt>
                <c:pt idx="28">
                  <c:v>6.3266136363636463</c:v>
                </c:pt>
                <c:pt idx="29">
                  <c:v>4.2211787775030132</c:v>
                </c:pt>
                <c:pt idx="30">
                  <c:v>3.6169879946572223</c:v>
                </c:pt>
                <c:pt idx="31">
                  <c:v>3.4367131313131551</c:v>
                </c:pt>
                <c:pt idx="32">
                  <c:v>3.0690015785479545</c:v>
                </c:pt>
                <c:pt idx="33">
                  <c:v>2.99672727272727</c:v>
                </c:pt>
                <c:pt idx="34">
                  <c:v>2.9519363636363494</c:v>
                </c:pt>
                <c:pt idx="35">
                  <c:v>2.8065363636364111</c:v>
                </c:pt>
                <c:pt idx="36">
                  <c:v>2.4910984848485214</c:v>
                </c:pt>
                <c:pt idx="37">
                  <c:v>3.4966212121212266</c:v>
                </c:pt>
                <c:pt idx="38">
                  <c:v>4.3355151515151533</c:v>
                </c:pt>
                <c:pt idx="39">
                  <c:v>4.9378813131312995</c:v>
                </c:pt>
                <c:pt idx="40">
                  <c:v>4.0423212121212089</c:v>
                </c:pt>
                <c:pt idx="41">
                  <c:v>3.1729873737374135</c:v>
                </c:pt>
                <c:pt idx="42">
                  <c:v>1.648717171717152</c:v>
                </c:pt>
                <c:pt idx="43">
                  <c:v>1.3904181818181769</c:v>
                </c:pt>
                <c:pt idx="44">
                  <c:v>8.4773232323215097E-2</c:v>
                </c:pt>
                <c:pt idx="45">
                  <c:v>-0.25188636363634487</c:v>
                </c:pt>
                <c:pt idx="46">
                  <c:v>-0.34409999999999741</c:v>
                </c:pt>
                <c:pt idx="47">
                  <c:v>-0.92710606060606437</c:v>
                </c:pt>
                <c:pt idx="48">
                  <c:v>-0.28858636363636947</c:v>
                </c:pt>
                <c:pt idx="49">
                  <c:v>0.90152272727273441</c:v>
                </c:pt>
                <c:pt idx="50">
                  <c:v>0.84533030303029477</c:v>
                </c:pt>
                <c:pt idx="51">
                  <c:v>1.2278030303030221</c:v>
                </c:pt>
                <c:pt idx="52">
                  <c:v>1.2301569696969921</c:v>
                </c:pt>
                <c:pt idx="53">
                  <c:v>1.3984848484852819E-2</c:v>
                </c:pt>
                <c:pt idx="54">
                  <c:v>-0.41268484848484377</c:v>
                </c:pt>
                <c:pt idx="55">
                  <c:v>-0.46161363636363717</c:v>
                </c:pt>
                <c:pt idx="56">
                  <c:v>0.38874494949494931</c:v>
                </c:pt>
                <c:pt idx="57">
                  <c:v>-0.53249090909091024</c:v>
                </c:pt>
                <c:pt idx="58">
                  <c:v>-0.42121969696970041</c:v>
                </c:pt>
                <c:pt idx="59">
                  <c:v>-1.7535353535350851E-2</c:v>
                </c:pt>
                <c:pt idx="60">
                  <c:v>0.95480303030302593</c:v>
                </c:pt>
                <c:pt idx="61">
                  <c:v>3.1657196969697168</c:v>
                </c:pt>
                <c:pt idx="62">
                  <c:v>5.362598484848462</c:v>
                </c:pt>
                <c:pt idx="63">
                  <c:v>5.8320545454545538</c:v>
                </c:pt>
                <c:pt idx="64">
                  <c:v>3.2076969696969968</c:v>
                </c:pt>
                <c:pt idx="65">
                  <c:v>3.6285984848484816</c:v>
                </c:pt>
                <c:pt idx="66">
                  <c:v>3.5770191477147364</c:v>
                </c:pt>
                <c:pt idx="67">
                  <c:v>3.6122499999999889</c:v>
                </c:pt>
                <c:pt idx="68">
                  <c:v>3.503704545454525</c:v>
                </c:pt>
                <c:pt idx="69">
                  <c:v>4.4139151515151411</c:v>
                </c:pt>
                <c:pt idx="70">
                  <c:v>2.8054848484848662</c:v>
                </c:pt>
                <c:pt idx="71">
                  <c:v>2.3109116161616043</c:v>
                </c:pt>
                <c:pt idx="72">
                  <c:v>3.8537727272727409</c:v>
                </c:pt>
                <c:pt idx="73">
                  <c:v>5.2786742424242448</c:v>
                </c:pt>
                <c:pt idx="74">
                  <c:v>6.3276363636363726</c:v>
                </c:pt>
                <c:pt idx="75">
                  <c:v>5.8482909090909061</c:v>
                </c:pt>
                <c:pt idx="76">
                  <c:v>6.5613838383838186</c:v>
                </c:pt>
                <c:pt idx="77">
                  <c:v>3.7504242424242307</c:v>
                </c:pt>
                <c:pt idx="78">
                  <c:v>2.5779469696969954</c:v>
                </c:pt>
                <c:pt idx="79">
                  <c:v>2.6617878787878908</c:v>
                </c:pt>
                <c:pt idx="80">
                  <c:v>2.4680151515151465</c:v>
                </c:pt>
                <c:pt idx="81">
                  <c:v>2.351893939393932</c:v>
                </c:pt>
                <c:pt idx="82">
                  <c:v>3.3297752525252804</c:v>
                </c:pt>
                <c:pt idx="83">
                  <c:v>3.3614439393939506</c:v>
                </c:pt>
                <c:pt idx="84">
                  <c:v>3.8225227272727693</c:v>
                </c:pt>
                <c:pt idx="85">
                  <c:v>4.5205984848484206</c:v>
                </c:pt>
                <c:pt idx="86">
                  <c:v>5.8371757575757783</c:v>
                </c:pt>
                <c:pt idx="87">
                  <c:v>6.1159242424242848</c:v>
                </c:pt>
                <c:pt idx="88">
                  <c:v>5.8956893939393922</c:v>
                </c:pt>
                <c:pt idx="89">
                  <c:v>4.1126242424242321</c:v>
                </c:pt>
                <c:pt idx="90">
                  <c:v>4.2671217171717331</c:v>
                </c:pt>
                <c:pt idx="91">
                  <c:v>4.2695959595959323</c:v>
                </c:pt>
                <c:pt idx="92">
                  <c:v>3.4390999999999963</c:v>
                </c:pt>
                <c:pt idx="93">
                  <c:v>3.2735202020201939</c:v>
                </c:pt>
                <c:pt idx="94">
                  <c:v>3.5708131313131162</c:v>
                </c:pt>
                <c:pt idx="95">
                  <c:v>4.2291954545453905</c:v>
                </c:pt>
                <c:pt idx="96">
                  <c:v>4.8254621212121549</c:v>
                </c:pt>
                <c:pt idx="97">
                  <c:v>5.7138257575757336</c:v>
                </c:pt>
                <c:pt idx="98">
                  <c:v>7.3320848484848682</c:v>
                </c:pt>
                <c:pt idx="99">
                  <c:v>7.0662575757575325</c:v>
                </c:pt>
                <c:pt idx="100">
                  <c:v>6.4501041616161672</c:v>
                </c:pt>
                <c:pt idx="101">
                  <c:v>4.0602297979797584</c:v>
                </c:pt>
                <c:pt idx="102">
                  <c:v>4.7367727272727507</c:v>
                </c:pt>
                <c:pt idx="103">
                  <c:v>4.6591909090908814</c:v>
                </c:pt>
                <c:pt idx="104">
                  <c:v>4.0533484848484704</c:v>
                </c:pt>
                <c:pt idx="105">
                  <c:v>3.7088257575757098</c:v>
                </c:pt>
                <c:pt idx="106">
                  <c:v>4.3626590909090908</c:v>
                </c:pt>
                <c:pt idx="107">
                  <c:v>3.3411666666666804</c:v>
                </c:pt>
                <c:pt idx="108">
                  <c:v>5.1195878787878542</c:v>
                </c:pt>
                <c:pt idx="109">
                  <c:v>5.9506136363636131</c:v>
                </c:pt>
                <c:pt idx="110">
                  <c:v>8.1043636363636722</c:v>
                </c:pt>
                <c:pt idx="111">
                  <c:v>7.7365000000000066</c:v>
                </c:pt>
                <c:pt idx="112">
                  <c:v>5.9960121212120896</c:v>
                </c:pt>
                <c:pt idx="113">
                  <c:v>5.7128005050504669</c:v>
                </c:pt>
                <c:pt idx="114">
                  <c:v>4.0096313438296534</c:v>
                </c:pt>
                <c:pt idx="115">
                  <c:v>4.8916727272727485</c:v>
                </c:pt>
                <c:pt idx="116">
                  <c:v>5.0202146464646376</c:v>
                </c:pt>
                <c:pt idx="117">
                  <c:v>2.4871257575757681</c:v>
                </c:pt>
                <c:pt idx="118">
                  <c:v>2.7422499999999843</c:v>
                </c:pt>
                <c:pt idx="119">
                  <c:v>4.8865454545454838</c:v>
                </c:pt>
                <c:pt idx="120">
                  <c:v>5.7530196969697158</c:v>
                </c:pt>
                <c:pt idx="121">
                  <c:v>6.8891590909090894</c:v>
                </c:pt>
                <c:pt idx="122">
                  <c:v>7.5648409090909183</c:v>
                </c:pt>
                <c:pt idx="123">
                  <c:v>6.7898924242423959</c:v>
                </c:pt>
                <c:pt idx="124">
                  <c:v>6.8785707070707076</c:v>
                </c:pt>
                <c:pt idx="125">
                  <c:v>4.5072603899130002</c:v>
                </c:pt>
                <c:pt idx="126">
                  <c:v>4.8501540404040782</c:v>
                </c:pt>
                <c:pt idx="127">
                  <c:v>3.4166969696969431</c:v>
                </c:pt>
                <c:pt idx="128">
                  <c:v>2.5809747474747269</c:v>
                </c:pt>
                <c:pt idx="129">
                  <c:v>2.2897333333332881</c:v>
                </c:pt>
                <c:pt idx="130">
                  <c:v>2.9291767676767506</c:v>
                </c:pt>
                <c:pt idx="131">
                  <c:v>2.0545757575757193</c:v>
                </c:pt>
                <c:pt idx="132">
                  <c:v>3.3436060606060209</c:v>
                </c:pt>
                <c:pt idx="133">
                  <c:v>4.3384090909090958</c:v>
                </c:pt>
                <c:pt idx="134">
                  <c:v>6.3092651515151204</c:v>
                </c:pt>
                <c:pt idx="135">
                  <c:v>6.494993939393936</c:v>
                </c:pt>
                <c:pt idx="136">
                  <c:v>6.0526691919191649</c:v>
                </c:pt>
                <c:pt idx="137">
                  <c:v>4.9793139807742364</c:v>
                </c:pt>
                <c:pt idx="138">
                  <c:v>4.0783646464646495</c:v>
                </c:pt>
                <c:pt idx="139">
                  <c:v>4.2291060606060284</c:v>
                </c:pt>
                <c:pt idx="140">
                  <c:v>3.789242424242417</c:v>
                </c:pt>
                <c:pt idx="141">
                  <c:v>0.3828924242424705</c:v>
                </c:pt>
                <c:pt idx="142">
                  <c:v>0.98496117565963459</c:v>
                </c:pt>
                <c:pt idx="143">
                  <c:v>3.0282727272727641</c:v>
                </c:pt>
                <c:pt idx="144">
                  <c:v>6.222151515151495</c:v>
                </c:pt>
                <c:pt idx="145">
                  <c:v>5.9240303030303494</c:v>
                </c:pt>
                <c:pt idx="146">
                  <c:v>7.317393939393952</c:v>
                </c:pt>
                <c:pt idx="147">
                  <c:v>6.6119393939393944</c:v>
                </c:pt>
                <c:pt idx="148">
                  <c:v>5.0348787878787675</c:v>
                </c:pt>
                <c:pt idx="149">
                  <c:v>3.4681515151515327</c:v>
                </c:pt>
                <c:pt idx="150">
                  <c:v>3.6095692749794637</c:v>
                </c:pt>
                <c:pt idx="151">
                  <c:v>4.7201818181817998</c:v>
                </c:pt>
                <c:pt idx="152">
                  <c:v>4.3717878787878703</c:v>
                </c:pt>
                <c:pt idx="153">
                  <c:v>4.0409696969697109</c:v>
                </c:pt>
                <c:pt idx="154">
                  <c:v>3.5147575757575851</c:v>
                </c:pt>
                <c:pt idx="155">
                  <c:v>4.5427272727272623</c:v>
                </c:pt>
                <c:pt idx="156">
                  <c:v>5.9089696969697059</c:v>
                </c:pt>
                <c:pt idx="157">
                  <c:v>7.7876363636363237</c:v>
                </c:pt>
                <c:pt idx="158">
                  <c:v>9.1141818181818053</c:v>
                </c:pt>
                <c:pt idx="159">
                  <c:v>9.767757575757571</c:v>
                </c:pt>
                <c:pt idx="160">
                  <c:v>8.8519090909090608</c:v>
                </c:pt>
                <c:pt idx="161">
                  <c:v>8.1048484848485316</c:v>
                </c:pt>
                <c:pt idx="162">
                  <c:v>6.8846060606060462</c:v>
                </c:pt>
                <c:pt idx="163">
                  <c:v>5.7113636363635862</c:v>
                </c:pt>
                <c:pt idx="164">
                  <c:v>5.9631212121211945</c:v>
                </c:pt>
                <c:pt idx="165">
                  <c:v>4.1663030303029984</c:v>
                </c:pt>
                <c:pt idx="166">
                  <c:v>5.1155151515150692</c:v>
                </c:pt>
                <c:pt idx="167">
                  <c:v>6.2897575757575908</c:v>
                </c:pt>
                <c:pt idx="168">
                  <c:v>7.9948484848485464</c:v>
                </c:pt>
                <c:pt idx="169">
                  <c:v>10.569878787878849</c:v>
                </c:pt>
                <c:pt idx="170">
                  <c:v>10.808333333333337</c:v>
                </c:pt>
                <c:pt idx="171">
                  <c:v>9.6472727272727639</c:v>
                </c:pt>
                <c:pt idx="172">
                  <c:v>7.5091515151515296</c:v>
                </c:pt>
                <c:pt idx="173">
                  <c:v>6.2067272727273348</c:v>
                </c:pt>
                <c:pt idx="174">
                  <c:v>6.6019696969697179</c:v>
                </c:pt>
                <c:pt idx="175">
                  <c:v>5.5029090909091281</c:v>
                </c:pt>
                <c:pt idx="176">
                  <c:v>5.4539696969696934</c:v>
                </c:pt>
                <c:pt idx="177">
                  <c:v>4.0179696969697147</c:v>
                </c:pt>
                <c:pt idx="178">
                  <c:v>4.3045757575756909</c:v>
                </c:pt>
                <c:pt idx="179">
                  <c:v>3.4134242424242132</c:v>
                </c:pt>
                <c:pt idx="180">
                  <c:v>4.0075757575757791</c:v>
                </c:pt>
                <c:pt idx="181">
                  <c:v>7.5459393939393919</c:v>
                </c:pt>
                <c:pt idx="182">
                  <c:v>8.7113939393939575</c:v>
                </c:pt>
                <c:pt idx="183">
                  <c:v>8.0841212121212038</c:v>
                </c:pt>
                <c:pt idx="184">
                  <c:v>5.7592359115491547</c:v>
                </c:pt>
                <c:pt idx="185">
                  <c:v>6.335155287050469</c:v>
                </c:pt>
                <c:pt idx="186">
                  <c:v>4.9728787878787841</c:v>
                </c:pt>
                <c:pt idx="187">
                  <c:v>4.1937878787878446</c:v>
                </c:pt>
                <c:pt idx="188">
                  <c:v>4.5087272727272705</c:v>
                </c:pt>
                <c:pt idx="189">
                  <c:v>2.6227878787878467</c:v>
                </c:pt>
                <c:pt idx="190">
                  <c:v>1.7358484848485318</c:v>
                </c:pt>
                <c:pt idx="191">
                  <c:v>2.8580303030303469</c:v>
                </c:pt>
                <c:pt idx="192">
                  <c:v>6.0472121212121408</c:v>
                </c:pt>
                <c:pt idx="193">
                  <c:v>8.2712727272727022</c:v>
                </c:pt>
                <c:pt idx="194">
                  <c:v>9.8262424242424231</c:v>
                </c:pt>
                <c:pt idx="195">
                  <c:v>7.2969696969697111</c:v>
                </c:pt>
                <c:pt idx="196">
                  <c:v>5.6170303030302762</c:v>
                </c:pt>
                <c:pt idx="197">
                  <c:v>4.5340252971244297</c:v>
                </c:pt>
                <c:pt idx="198">
                  <c:v>3.0770139830749486</c:v>
                </c:pt>
                <c:pt idx="199">
                  <c:v>3.4170640639009378</c:v>
                </c:pt>
                <c:pt idx="200">
                  <c:v>3.1476363636363374</c:v>
                </c:pt>
                <c:pt idx="201">
                  <c:v>3.1288181818181613</c:v>
                </c:pt>
                <c:pt idx="202">
                  <c:v>3.2108484848484977</c:v>
                </c:pt>
                <c:pt idx="203">
                  <c:v>3.6578484848485004</c:v>
                </c:pt>
                <c:pt idx="204">
                  <c:v>5.2431818181818244</c:v>
                </c:pt>
                <c:pt idx="205">
                  <c:v>6.838393939393967</c:v>
                </c:pt>
                <c:pt idx="206">
                  <c:v>7.4862121212121338</c:v>
                </c:pt>
                <c:pt idx="207">
                  <c:v>7.3186666666666724</c:v>
                </c:pt>
                <c:pt idx="208">
                  <c:v>6.9422727272727229</c:v>
                </c:pt>
                <c:pt idx="209">
                  <c:v>5.1691950588658813</c:v>
                </c:pt>
                <c:pt idx="210">
                  <c:v>4.0573939393939327</c:v>
                </c:pt>
                <c:pt idx="211">
                  <c:v>4.6192727272727154</c:v>
                </c:pt>
                <c:pt idx="212">
                  <c:v>3.6453030303030118</c:v>
                </c:pt>
                <c:pt idx="213">
                  <c:v>3.5454848484848469</c:v>
                </c:pt>
                <c:pt idx="214">
                  <c:v>3.9540606060605512</c:v>
                </c:pt>
                <c:pt idx="215">
                  <c:v>4.0563030303030132</c:v>
                </c:pt>
                <c:pt idx="216">
                  <c:v>3.4586969696969732</c:v>
                </c:pt>
                <c:pt idx="217">
                  <c:v>5.9160606060605971</c:v>
                </c:pt>
                <c:pt idx="218">
                  <c:v>8.1907575757575728</c:v>
                </c:pt>
                <c:pt idx="219">
                  <c:v>7.0486969696969481</c:v>
                </c:pt>
                <c:pt idx="220">
                  <c:v>7.293272727272722</c:v>
                </c:pt>
                <c:pt idx="221">
                  <c:v>6.2148198047875951</c:v>
                </c:pt>
                <c:pt idx="222">
                  <c:v>4.0882155965985589</c:v>
                </c:pt>
                <c:pt idx="223">
                  <c:v>5.1176363636363362</c:v>
                </c:pt>
                <c:pt idx="224">
                  <c:v>2.0854545454545814</c:v>
                </c:pt>
                <c:pt idx="225">
                  <c:v>1.9037272727272807</c:v>
                </c:pt>
                <c:pt idx="226">
                  <c:v>2.2141212121212561</c:v>
                </c:pt>
                <c:pt idx="227">
                  <c:v>4.3522424242424336</c:v>
                </c:pt>
                <c:pt idx="228">
                  <c:v>6.1984848484848385</c:v>
                </c:pt>
                <c:pt idx="229">
                  <c:v>8.4618484848484741</c:v>
                </c:pt>
                <c:pt idx="230">
                  <c:v>10.389363636363612</c:v>
                </c:pt>
                <c:pt idx="231">
                  <c:v>9.6426969696969422</c:v>
                </c:pt>
                <c:pt idx="232">
                  <c:v>7.5930303030302753</c:v>
                </c:pt>
                <c:pt idx="233">
                  <c:v>7.0965151515151206</c:v>
                </c:pt>
                <c:pt idx="234">
                  <c:v>4.4679999999999609</c:v>
                </c:pt>
                <c:pt idx="235">
                  <c:v>4.1602727272727407</c:v>
                </c:pt>
                <c:pt idx="236">
                  <c:v>4.3979696969697102</c:v>
                </c:pt>
                <c:pt idx="237">
                  <c:v>2.9895757575757784</c:v>
                </c:pt>
                <c:pt idx="238">
                  <c:v>2.8785151515151597</c:v>
                </c:pt>
                <c:pt idx="239">
                  <c:v>5.8815454545455168</c:v>
                </c:pt>
                <c:pt idx="240">
                  <c:v>7.1995151515151861</c:v>
                </c:pt>
                <c:pt idx="241">
                  <c:v>11.289727272727305</c:v>
                </c:pt>
                <c:pt idx="242">
                  <c:v>12.949848484848417</c:v>
                </c:pt>
                <c:pt idx="243">
                  <c:v>13.865727272727327</c:v>
                </c:pt>
                <c:pt idx="244">
                  <c:v>8.9823939393940009</c:v>
                </c:pt>
                <c:pt idx="245">
                  <c:v>7.0010606060606051</c:v>
                </c:pt>
                <c:pt idx="246">
                  <c:v>5.8064795890361438</c:v>
                </c:pt>
                <c:pt idx="247">
                  <c:v>6.1389090909091237</c:v>
                </c:pt>
                <c:pt idx="248">
                  <c:v>7.3385151515151392</c:v>
                </c:pt>
                <c:pt idx="249">
                  <c:v>6.1292727272727916</c:v>
                </c:pt>
                <c:pt idx="250">
                  <c:v>6.141398601984065</c:v>
                </c:pt>
                <c:pt idx="251">
                  <c:v>6.170757575757591</c:v>
                </c:pt>
                <c:pt idx="252">
                  <c:v>8.6420909090908822</c:v>
                </c:pt>
                <c:pt idx="253">
                  <c:v>11.974242424242448</c:v>
                </c:pt>
                <c:pt idx="254">
                  <c:v>12.290515151515137</c:v>
                </c:pt>
                <c:pt idx="255">
                  <c:v>11.581363636363619</c:v>
                </c:pt>
                <c:pt idx="256">
                  <c:v>6.3818787878787475</c:v>
                </c:pt>
                <c:pt idx="257">
                  <c:v>6.2274242424242061</c:v>
                </c:pt>
                <c:pt idx="258">
                  <c:v>4.9201212121212166</c:v>
                </c:pt>
                <c:pt idx="259">
                  <c:v>6.6753939393939277</c:v>
                </c:pt>
                <c:pt idx="260">
                  <c:v>4.9276363636363385</c:v>
                </c:pt>
                <c:pt idx="261">
                  <c:v>8.1595454545454231</c:v>
                </c:pt>
                <c:pt idx="262">
                  <c:v>7.2023333333333994</c:v>
                </c:pt>
                <c:pt idx="263">
                  <c:v>8.1121212121212238</c:v>
                </c:pt>
                <c:pt idx="264">
                  <c:v>11.458969696969632</c:v>
                </c:pt>
                <c:pt idx="265">
                  <c:v>14.669151515151555</c:v>
                </c:pt>
                <c:pt idx="266">
                  <c:v>15.442848484848469</c:v>
                </c:pt>
                <c:pt idx="267">
                  <c:v>14.52284848484851</c:v>
                </c:pt>
                <c:pt idx="268">
                  <c:v>14.344424242424225</c:v>
                </c:pt>
                <c:pt idx="269">
                  <c:v>15.209757575757635</c:v>
                </c:pt>
                <c:pt idx="270">
                  <c:v>17.495212121212035</c:v>
                </c:pt>
                <c:pt idx="271">
                  <c:v>13.748737677038093</c:v>
                </c:pt>
                <c:pt idx="272">
                  <c:v>16.735272727272559</c:v>
                </c:pt>
                <c:pt idx="273">
                  <c:v>17.932909090909106</c:v>
                </c:pt>
                <c:pt idx="274">
                  <c:v>16.348030303030441</c:v>
                </c:pt>
                <c:pt idx="275">
                  <c:v>20.042939393939434</c:v>
                </c:pt>
                <c:pt idx="276">
                  <c:v>21.241575757575561</c:v>
                </c:pt>
                <c:pt idx="277">
                  <c:v>23.524030303030145</c:v>
                </c:pt>
                <c:pt idx="278">
                  <c:v>26.349060606060675</c:v>
                </c:pt>
                <c:pt idx="279">
                  <c:v>26.144484848485035</c:v>
                </c:pt>
                <c:pt idx="280">
                  <c:v>22.724073409926575</c:v>
                </c:pt>
                <c:pt idx="281">
                  <c:v>19.022212022458689</c:v>
                </c:pt>
                <c:pt idx="282">
                  <c:v>16.280271423097304</c:v>
                </c:pt>
                <c:pt idx="283">
                  <c:v>16.560393939393975</c:v>
                </c:pt>
                <c:pt idx="284">
                  <c:v>12.611060606060676</c:v>
                </c:pt>
                <c:pt idx="285">
                  <c:v>7.1471515151515632</c:v>
                </c:pt>
                <c:pt idx="286">
                  <c:v>9.319272727272903</c:v>
                </c:pt>
                <c:pt idx="287">
                  <c:v>9.4194545454545846</c:v>
                </c:pt>
                <c:pt idx="288">
                  <c:v>12.411575757575747</c:v>
                </c:pt>
                <c:pt idx="289">
                  <c:v>12.427424242424081</c:v>
                </c:pt>
                <c:pt idx="290">
                  <c:v>15.570393939393966</c:v>
                </c:pt>
                <c:pt idx="291">
                  <c:v>11.842090909090928</c:v>
                </c:pt>
                <c:pt idx="292">
                  <c:v>11.429969696969692</c:v>
                </c:pt>
                <c:pt idx="293">
                  <c:v>9.8501212121212234</c:v>
                </c:pt>
                <c:pt idx="294">
                  <c:v>6.5545014110689408</c:v>
                </c:pt>
                <c:pt idx="295">
                  <c:v>6.8910909090909627</c:v>
                </c:pt>
                <c:pt idx="296">
                  <c:v>4.6745151515152088</c:v>
                </c:pt>
                <c:pt idx="297">
                  <c:v>0.39966666666666129</c:v>
                </c:pt>
                <c:pt idx="298">
                  <c:v>2.0999999999999659</c:v>
                </c:pt>
                <c:pt idx="299">
                  <c:v>5.6604242424242557</c:v>
                </c:pt>
                <c:pt idx="300">
                  <c:v>7.7458484848485227</c:v>
                </c:pt>
                <c:pt idx="301">
                  <c:v>10.366333333333387</c:v>
                </c:pt>
                <c:pt idx="302">
                  <c:v>10.670363636363618</c:v>
                </c:pt>
                <c:pt idx="303">
                  <c:v>9.8287878787878071</c:v>
                </c:pt>
                <c:pt idx="304">
                  <c:v>7.7300909090909045</c:v>
                </c:pt>
                <c:pt idx="305">
                  <c:v>7.2225757575757257</c:v>
                </c:pt>
                <c:pt idx="306">
                  <c:v>6.7781729087225813</c:v>
                </c:pt>
                <c:pt idx="307">
                  <c:v>7.3971818181818207</c:v>
                </c:pt>
                <c:pt idx="308">
                  <c:v>5.8936363636363467</c:v>
                </c:pt>
                <c:pt idx="309">
                  <c:v>4.4476060606061196</c:v>
                </c:pt>
                <c:pt idx="310">
                  <c:v>5.5494848484848944</c:v>
                </c:pt>
                <c:pt idx="311">
                  <c:v>5.2517575757574946</c:v>
                </c:pt>
                <c:pt idx="312">
                  <c:v>8.6318787878786907</c:v>
                </c:pt>
                <c:pt idx="313">
                  <c:v>11.155060606060658</c:v>
                </c:pt>
                <c:pt idx="314">
                  <c:v>12.541636363636314</c:v>
                </c:pt>
                <c:pt idx="315">
                  <c:v>13.13921212121204</c:v>
                </c:pt>
                <c:pt idx="316">
                  <c:v>13.188878787878821</c:v>
                </c:pt>
                <c:pt idx="317">
                  <c:v>10.958757575757545</c:v>
                </c:pt>
                <c:pt idx="318">
                  <c:v>8.4278205965414941</c:v>
                </c:pt>
                <c:pt idx="319">
                  <c:v>8.0697272727273344</c:v>
                </c:pt>
                <c:pt idx="320">
                  <c:v>7.6082424242424622</c:v>
                </c:pt>
                <c:pt idx="321">
                  <c:v>5.4566969696969636</c:v>
                </c:pt>
                <c:pt idx="322">
                  <c:v>6.0968787878787793</c:v>
                </c:pt>
                <c:pt idx="323">
                  <c:v>6.1742424242424363</c:v>
                </c:pt>
                <c:pt idx="324">
                  <c:v>7.444454545454505</c:v>
                </c:pt>
                <c:pt idx="325">
                  <c:v>9.4791818181818144</c:v>
                </c:pt>
                <c:pt idx="326">
                  <c:v>11.796757575757567</c:v>
                </c:pt>
                <c:pt idx="327">
                  <c:v>13.11524242424241</c:v>
                </c:pt>
                <c:pt idx="328">
                  <c:v>11.420181818181845</c:v>
                </c:pt>
                <c:pt idx="329">
                  <c:v>12.460333333333381</c:v>
                </c:pt>
                <c:pt idx="330">
                  <c:v>7.0845566999700509</c:v>
                </c:pt>
                <c:pt idx="331">
                  <c:v>7.6936060606061005</c:v>
                </c:pt>
              </c:numCache>
            </c:numRef>
          </c:val>
          <c:extLst xmlns:c16r2="http://schemas.microsoft.com/office/drawing/2015/06/chart">
            <c:ext xmlns:c16="http://schemas.microsoft.com/office/drawing/2014/chart" uri="{C3380CC4-5D6E-409C-BE32-E72D297353CC}">
              <c16:uniqueId val="{00000000-6FB4-40A3-836D-D82B04DA5E33}"/>
            </c:ext>
          </c:extLst>
        </c:ser>
        <c:ser>
          <c:idx val="1"/>
          <c:order val="1"/>
          <c:tx>
            <c:strRef>
              <c:f>ValueOfGain!$AL$4</c:f>
              <c:strCache>
                <c:ptCount val="1"/>
                <c:pt idx="0">
                  <c:v>Heifers (Avg=$3.81)</c:v>
                </c:pt>
              </c:strCache>
            </c:strRef>
          </c:tx>
          <c:spPr>
            <a:ln w="22225" cap="rnd">
              <a:solidFill>
                <a:srgbClr val="FF66CC"/>
              </a:solidFill>
              <a:round/>
            </a:ln>
            <a:effectLst/>
          </c:spPr>
          <c:marker>
            <c:symbol val="diamond"/>
            <c:size val="5"/>
            <c:spPr>
              <a:solidFill>
                <a:srgbClr val="CC3399"/>
              </a:solidFill>
              <a:ln w="9525">
                <a:noFill/>
              </a:ln>
              <a:effectLst/>
            </c:spPr>
          </c:marker>
          <c:cat>
            <c:numRef>
              <c:f>ValueOfGain!$AB$9:$AB$344</c:f>
              <c:numCache>
                <c:formatCode>[$-409]mmm\-yy;@</c:formatCode>
                <c:ptCount val="336"/>
                <c:pt idx="0">
                  <c:v>33604</c:v>
                </c:pt>
                <c:pt idx="1">
                  <c:v>33635</c:v>
                </c:pt>
                <c:pt idx="2">
                  <c:v>33664</c:v>
                </c:pt>
                <c:pt idx="3">
                  <c:v>33695</c:v>
                </c:pt>
                <c:pt idx="4">
                  <c:v>33725</c:v>
                </c:pt>
                <c:pt idx="5">
                  <c:v>33756</c:v>
                </c:pt>
                <c:pt idx="6">
                  <c:v>33786</c:v>
                </c:pt>
                <c:pt idx="7">
                  <c:v>33817</c:v>
                </c:pt>
                <c:pt idx="8">
                  <c:v>33848</c:v>
                </c:pt>
                <c:pt idx="9">
                  <c:v>33878</c:v>
                </c:pt>
                <c:pt idx="10">
                  <c:v>33909</c:v>
                </c:pt>
                <c:pt idx="11">
                  <c:v>33939</c:v>
                </c:pt>
                <c:pt idx="12">
                  <c:v>33970</c:v>
                </c:pt>
                <c:pt idx="13">
                  <c:v>34001</c:v>
                </c:pt>
                <c:pt idx="14">
                  <c:v>34029</c:v>
                </c:pt>
                <c:pt idx="15">
                  <c:v>34060</c:v>
                </c:pt>
                <c:pt idx="16">
                  <c:v>34090</c:v>
                </c:pt>
                <c:pt idx="17">
                  <c:v>34121</c:v>
                </c:pt>
                <c:pt idx="18">
                  <c:v>34151</c:v>
                </c:pt>
                <c:pt idx="19">
                  <c:v>34182</c:v>
                </c:pt>
                <c:pt idx="20">
                  <c:v>34213</c:v>
                </c:pt>
                <c:pt idx="21">
                  <c:v>34243</c:v>
                </c:pt>
                <c:pt idx="22">
                  <c:v>34274</c:v>
                </c:pt>
                <c:pt idx="23">
                  <c:v>34304</c:v>
                </c:pt>
                <c:pt idx="24">
                  <c:v>34335</c:v>
                </c:pt>
                <c:pt idx="25">
                  <c:v>34366</c:v>
                </c:pt>
                <c:pt idx="26">
                  <c:v>34394</c:v>
                </c:pt>
                <c:pt idx="27">
                  <c:v>34425</c:v>
                </c:pt>
                <c:pt idx="28">
                  <c:v>34455</c:v>
                </c:pt>
                <c:pt idx="29">
                  <c:v>34486</c:v>
                </c:pt>
                <c:pt idx="30">
                  <c:v>34516</c:v>
                </c:pt>
                <c:pt idx="31">
                  <c:v>34547</c:v>
                </c:pt>
                <c:pt idx="32">
                  <c:v>34578</c:v>
                </c:pt>
                <c:pt idx="33">
                  <c:v>34608</c:v>
                </c:pt>
                <c:pt idx="34">
                  <c:v>34639</c:v>
                </c:pt>
                <c:pt idx="35">
                  <c:v>34669</c:v>
                </c:pt>
                <c:pt idx="36">
                  <c:v>34700</c:v>
                </c:pt>
                <c:pt idx="37">
                  <c:v>34731</c:v>
                </c:pt>
                <c:pt idx="38">
                  <c:v>34759</c:v>
                </c:pt>
                <c:pt idx="39">
                  <c:v>34790</c:v>
                </c:pt>
                <c:pt idx="40">
                  <c:v>34820</c:v>
                </c:pt>
                <c:pt idx="41">
                  <c:v>34851</c:v>
                </c:pt>
                <c:pt idx="42">
                  <c:v>34881</c:v>
                </c:pt>
                <c:pt idx="43">
                  <c:v>34912</c:v>
                </c:pt>
                <c:pt idx="44">
                  <c:v>34943</c:v>
                </c:pt>
                <c:pt idx="45">
                  <c:v>34973</c:v>
                </c:pt>
                <c:pt idx="46">
                  <c:v>35004</c:v>
                </c:pt>
                <c:pt idx="47">
                  <c:v>35034</c:v>
                </c:pt>
                <c:pt idx="48">
                  <c:v>35065</c:v>
                </c:pt>
                <c:pt idx="49">
                  <c:v>35096</c:v>
                </c:pt>
                <c:pt idx="50">
                  <c:v>35125</c:v>
                </c:pt>
                <c:pt idx="51">
                  <c:v>35156</c:v>
                </c:pt>
                <c:pt idx="52">
                  <c:v>35186</c:v>
                </c:pt>
                <c:pt idx="53">
                  <c:v>35217</c:v>
                </c:pt>
                <c:pt idx="54">
                  <c:v>35247</c:v>
                </c:pt>
                <c:pt idx="55">
                  <c:v>35278</c:v>
                </c:pt>
                <c:pt idx="56">
                  <c:v>35309</c:v>
                </c:pt>
                <c:pt idx="57">
                  <c:v>35339</c:v>
                </c:pt>
                <c:pt idx="58">
                  <c:v>35370</c:v>
                </c:pt>
                <c:pt idx="59">
                  <c:v>35400</c:v>
                </c:pt>
                <c:pt idx="60">
                  <c:v>35431</c:v>
                </c:pt>
                <c:pt idx="61">
                  <c:v>35462</c:v>
                </c:pt>
                <c:pt idx="62">
                  <c:v>35490</c:v>
                </c:pt>
                <c:pt idx="63">
                  <c:v>35521</c:v>
                </c:pt>
                <c:pt idx="64">
                  <c:v>35551</c:v>
                </c:pt>
                <c:pt idx="65">
                  <c:v>35582</c:v>
                </c:pt>
                <c:pt idx="66">
                  <c:v>35612</c:v>
                </c:pt>
                <c:pt idx="67">
                  <c:v>35643</c:v>
                </c:pt>
                <c:pt idx="68">
                  <c:v>35674</c:v>
                </c:pt>
                <c:pt idx="69">
                  <c:v>35704</c:v>
                </c:pt>
                <c:pt idx="70">
                  <c:v>35735</c:v>
                </c:pt>
                <c:pt idx="71">
                  <c:v>35765</c:v>
                </c:pt>
                <c:pt idx="72">
                  <c:v>35796</c:v>
                </c:pt>
                <c:pt idx="73">
                  <c:v>35827</c:v>
                </c:pt>
                <c:pt idx="74">
                  <c:v>35855</c:v>
                </c:pt>
                <c:pt idx="75">
                  <c:v>35886</c:v>
                </c:pt>
                <c:pt idx="76">
                  <c:v>35916</c:v>
                </c:pt>
                <c:pt idx="77">
                  <c:v>35947</c:v>
                </c:pt>
                <c:pt idx="78">
                  <c:v>35977</c:v>
                </c:pt>
                <c:pt idx="79">
                  <c:v>36008</c:v>
                </c:pt>
                <c:pt idx="80">
                  <c:v>36039</c:v>
                </c:pt>
                <c:pt idx="81">
                  <c:v>36069</c:v>
                </c:pt>
                <c:pt idx="82">
                  <c:v>36100</c:v>
                </c:pt>
                <c:pt idx="83">
                  <c:v>36130</c:v>
                </c:pt>
                <c:pt idx="84">
                  <c:v>36161</c:v>
                </c:pt>
                <c:pt idx="85">
                  <c:v>36192</c:v>
                </c:pt>
                <c:pt idx="86">
                  <c:v>36220</c:v>
                </c:pt>
                <c:pt idx="87">
                  <c:v>36251</c:v>
                </c:pt>
                <c:pt idx="88">
                  <c:v>36281</c:v>
                </c:pt>
                <c:pt idx="89">
                  <c:v>36312</c:v>
                </c:pt>
                <c:pt idx="90">
                  <c:v>36342</c:v>
                </c:pt>
                <c:pt idx="91">
                  <c:v>36373</c:v>
                </c:pt>
                <c:pt idx="92">
                  <c:v>36404</c:v>
                </c:pt>
                <c:pt idx="93">
                  <c:v>36434</c:v>
                </c:pt>
                <c:pt idx="94">
                  <c:v>36465</c:v>
                </c:pt>
                <c:pt idx="95">
                  <c:v>36495</c:v>
                </c:pt>
                <c:pt idx="96">
                  <c:v>36526</c:v>
                </c:pt>
                <c:pt idx="97">
                  <c:v>36557</c:v>
                </c:pt>
                <c:pt idx="98">
                  <c:v>36586</c:v>
                </c:pt>
                <c:pt idx="99">
                  <c:v>36617</c:v>
                </c:pt>
                <c:pt idx="100">
                  <c:v>36647</c:v>
                </c:pt>
                <c:pt idx="101">
                  <c:v>36678</c:v>
                </c:pt>
                <c:pt idx="102">
                  <c:v>36708</c:v>
                </c:pt>
                <c:pt idx="103">
                  <c:v>36739</c:v>
                </c:pt>
                <c:pt idx="104">
                  <c:v>36770</c:v>
                </c:pt>
                <c:pt idx="105">
                  <c:v>36800</c:v>
                </c:pt>
                <c:pt idx="106">
                  <c:v>36831</c:v>
                </c:pt>
                <c:pt idx="107">
                  <c:v>36861</c:v>
                </c:pt>
                <c:pt idx="108">
                  <c:v>36892</c:v>
                </c:pt>
                <c:pt idx="109">
                  <c:v>36923</c:v>
                </c:pt>
                <c:pt idx="110">
                  <c:v>36951</c:v>
                </c:pt>
                <c:pt idx="111">
                  <c:v>36982</c:v>
                </c:pt>
                <c:pt idx="112">
                  <c:v>37012</c:v>
                </c:pt>
                <c:pt idx="113">
                  <c:v>37043</c:v>
                </c:pt>
                <c:pt idx="114">
                  <c:v>37073</c:v>
                </c:pt>
                <c:pt idx="115">
                  <c:v>37104</c:v>
                </c:pt>
                <c:pt idx="116">
                  <c:v>37135</c:v>
                </c:pt>
                <c:pt idx="117">
                  <c:v>37165</c:v>
                </c:pt>
                <c:pt idx="118">
                  <c:v>37196</c:v>
                </c:pt>
                <c:pt idx="119">
                  <c:v>37226</c:v>
                </c:pt>
                <c:pt idx="120">
                  <c:v>37257</c:v>
                </c:pt>
                <c:pt idx="121">
                  <c:v>37288</c:v>
                </c:pt>
                <c:pt idx="122">
                  <c:v>37316</c:v>
                </c:pt>
                <c:pt idx="123">
                  <c:v>37347</c:v>
                </c:pt>
                <c:pt idx="124">
                  <c:v>37377</c:v>
                </c:pt>
                <c:pt idx="125">
                  <c:v>37408</c:v>
                </c:pt>
                <c:pt idx="126">
                  <c:v>37438</c:v>
                </c:pt>
                <c:pt idx="127">
                  <c:v>37469</c:v>
                </c:pt>
                <c:pt idx="128">
                  <c:v>37500</c:v>
                </c:pt>
                <c:pt idx="129">
                  <c:v>37530</c:v>
                </c:pt>
                <c:pt idx="130">
                  <c:v>37561</c:v>
                </c:pt>
                <c:pt idx="131">
                  <c:v>37591</c:v>
                </c:pt>
                <c:pt idx="132">
                  <c:v>37622</c:v>
                </c:pt>
                <c:pt idx="133">
                  <c:v>37653</c:v>
                </c:pt>
                <c:pt idx="134">
                  <c:v>37681</c:v>
                </c:pt>
                <c:pt idx="135">
                  <c:v>37712</c:v>
                </c:pt>
                <c:pt idx="136">
                  <c:v>37742</c:v>
                </c:pt>
                <c:pt idx="137">
                  <c:v>37773</c:v>
                </c:pt>
                <c:pt idx="138">
                  <c:v>37803</c:v>
                </c:pt>
                <c:pt idx="139">
                  <c:v>37834</c:v>
                </c:pt>
                <c:pt idx="140">
                  <c:v>37865</c:v>
                </c:pt>
                <c:pt idx="141">
                  <c:v>37895</c:v>
                </c:pt>
                <c:pt idx="142">
                  <c:v>37926</c:v>
                </c:pt>
                <c:pt idx="143">
                  <c:v>37956</c:v>
                </c:pt>
                <c:pt idx="144">
                  <c:v>37987</c:v>
                </c:pt>
                <c:pt idx="145">
                  <c:v>38018</c:v>
                </c:pt>
                <c:pt idx="146">
                  <c:v>38047</c:v>
                </c:pt>
                <c:pt idx="147">
                  <c:v>38078</c:v>
                </c:pt>
                <c:pt idx="148">
                  <c:v>38108</c:v>
                </c:pt>
                <c:pt idx="149">
                  <c:v>38139</c:v>
                </c:pt>
                <c:pt idx="150">
                  <c:v>38169</c:v>
                </c:pt>
                <c:pt idx="151">
                  <c:v>38200</c:v>
                </c:pt>
                <c:pt idx="152">
                  <c:v>38231</c:v>
                </c:pt>
                <c:pt idx="153">
                  <c:v>38261</c:v>
                </c:pt>
                <c:pt idx="154">
                  <c:v>38292</c:v>
                </c:pt>
                <c:pt idx="155">
                  <c:v>38322</c:v>
                </c:pt>
                <c:pt idx="156">
                  <c:v>38353</c:v>
                </c:pt>
                <c:pt idx="157">
                  <c:v>38384</c:v>
                </c:pt>
                <c:pt idx="158">
                  <c:v>38412</c:v>
                </c:pt>
                <c:pt idx="159">
                  <c:v>38443</c:v>
                </c:pt>
                <c:pt idx="160">
                  <c:v>38473</c:v>
                </c:pt>
                <c:pt idx="161">
                  <c:v>38504</c:v>
                </c:pt>
                <c:pt idx="162">
                  <c:v>38534</c:v>
                </c:pt>
                <c:pt idx="163">
                  <c:v>38565</c:v>
                </c:pt>
                <c:pt idx="164">
                  <c:v>38596</c:v>
                </c:pt>
                <c:pt idx="165">
                  <c:v>38626</c:v>
                </c:pt>
                <c:pt idx="166">
                  <c:v>38657</c:v>
                </c:pt>
                <c:pt idx="167">
                  <c:v>38687</c:v>
                </c:pt>
                <c:pt idx="168">
                  <c:v>38718</c:v>
                </c:pt>
                <c:pt idx="169">
                  <c:v>38749</c:v>
                </c:pt>
                <c:pt idx="170">
                  <c:v>38777</c:v>
                </c:pt>
                <c:pt idx="171">
                  <c:v>38808</c:v>
                </c:pt>
                <c:pt idx="172">
                  <c:v>38838</c:v>
                </c:pt>
                <c:pt idx="173">
                  <c:v>38869</c:v>
                </c:pt>
                <c:pt idx="174">
                  <c:v>38899</c:v>
                </c:pt>
                <c:pt idx="175">
                  <c:v>38930</c:v>
                </c:pt>
                <c:pt idx="176">
                  <c:v>38961</c:v>
                </c:pt>
                <c:pt idx="177">
                  <c:v>38991</c:v>
                </c:pt>
                <c:pt idx="178">
                  <c:v>39022</c:v>
                </c:pt>
                <c:pt idx="179">
                  <c:v>39052</c:v>
                </c:pt>
                <c:pt idx="180">
                  <c:v>39083</c:v>
                </c:pt>
                <c:pt idx="181">
                  <c:v>39114</c:v>
                </c:pt>
                <c:pt idx="182">
                  <c:v>39142</c:v>
                </c:pt>
                <c:pt idx="183">
                  <c:v>39173</c:v>
                </c:pt>
                <c:pt idx="184">
                  <c:v>39203</c:v>
                </c:pt>
                <c:pt idx="185">
                  <c:v>39234</c:v>
                </c:pt>
                <c:pt idx="186">
                  <c:v>39264</c:v>
                </c:pt>
                <c:pt idx="187">
                  <c:v>39295</c:v>
                </c:pt>
                <c:pt idx="188">
                  <c:v>39326</c:v>
                </c:pt>
                <c:pt idx="189">
                  <c:v>39356</c:v>
                </c:pt>
                <c:pt idx="190">
                  <c:v>39387</c:v>
                </c:pt>
                <c:pt idx="191">
                  <c:v>39417</c:v>
                </c:pt>
                <c:pt idx="192">
                  <c:v>39448</c:v>
                </c:pt>
                <c:pt idx="193">
                  <c:v>39479</c:v>
                </c:pt>
                <c:pt idx="194">
                  <c:v>39508</c:v>
                </c:pt>
                <c:pt idx="195">
                  <c:v>39539</c:v>
                </c:pt>
                <c:pt idx="196">
                  <c:v>39569</c:v>
                </c:pt>
                <c:pt idx="197">
                  <c:v>39600</c:v>
                </c:pt>
                <c:pt idx="198">
                  <c:v>39630</c:v>
                </c:pt>
                <c:pt idx="199">
                  <c:v>39661</c:v>
                </c:pt>
                <c:pt idx="200">
                  <c:v>39692</c:v>
                </c:pt>
                <c:pt idx="201">
                  <c:v>39722</c:v>
                </c:pt>
                <c:pt idx="202">
                  <c:v>39753</c:v>
                </c:pt>
                <c:pt idx="203">
                  <c:v>39783</c:v>
                </c:pt>
                <c:pt idx="204">
                  <c:v>39814</c:v>
                </c:pt>
                <c:pt idx="205">
                  <c:v>39845</c:v>
                </c:pt>
                <c:pt idx="206">
                  <c:v>39873</c:v>
                </c:pt>
                <c:pt idx="207">
                  <c:v>39904</c:v>
                </c:pt>
                <c:pt idx="208">
                  <c:v>39934</c:v>
                </c:pt>
                <c:pt idx="209">
                  <c:v>39965</c:v>
                </c:pt>
                <c:pt idx="210">
                  <c:v>39995</c:v>
                </c:pt>
                <c:pt idx="211">
                  <c:v>40026</c:v>
                </c:pt>
                <c:pt idx="212">
                  <c:v>40057</c:v>
                </c:pt>
                <c:pt idx="213">
                  <c:v>40087</c:v>
                </c:pt>
                <c:pt idx="214">
                  <c:v>40118</c:v>
                </c:pt>
                <c:pt idx="215">
                  <c:v>40148</c:v>
                </c:pt>
                <c:pt idx="216">
                  <c:v>40179</c:v>
                </c:pt>
                <c:pt idx="217">
                  <c:v>40210</c:v>
                </c:pt>
                <c:pt idx="218">
                  <c:v>40238</c:v>
                </c:pt>
                <c:pt idx="219">
                  <c:v>40269</c:v>
                </c:pt>
                <c:pt idx="220">
                  <c:v>40299</c:v>
                </c:pt>
                <c:pt idx="221">
                  <c:v>40330</c:v>
                </c:pt>
                <c:pt idx="222">
                  <c:v>40360</c:v>
                </c:pt>
                <c:pt idx="223">
                  <c:v>40391</c:v>
                </c:pt>
                <c:pt idx="224">
                  <c:v>40422</c:v>
                </c:pt>
                <c:pt idx="225">
                  <c:v>40452</c:v>
                </c:pt>
                <c:pt idx="226">
                  <c:v>40483</c:v>
                </c:pt>
                <c:pt idx="227">
                  <c:v>40513</c:v>
                </c:pt>
                <c:pt idx="228">
                  <c:v>40544</c:v>
                </c:pt>
                <c:pt idx="229">
                  <c:v>40575</c:v>
                </c:pt>
                <c:pt idx="230">
                  <c:v>40603</c:v>
                </c:pt>
                <c:pt idx="231">
                  <c:v>40634</c:v>
                </c:pt>
                <c:pt idx="232">
                  <c:v>40664</c:v>
                </c:pt>
                <c:pt idx="233">
                  <c:v>40695</c:v>
                </c:pt>
                <c:pt idx="234">
                  <c:v>40725</c:v>
                </c:pt>
                <c:pt idx="235">
                  <c:v>40756</c:v>
                </c:pt>
                <c:pt idx="236">
                  <c:v>40787</c:v>
                </c:pt>
                <c:pt idx="237">
                  <c:v>40817</c:v>
                </c:pt>
                <c:pt idx="238">
                  <c:v>40848</c:v>
                </c:pt>
                <c:pt idx="239">
                  <c:v>40878</c:v>
                </c:pt>
                <c:pt idx="240">
                  <c:v>40909</c:v>
                </c:pt>
                <c:pt idx="241">
                  <c:v>40940</c:v>
                </c:pt>
                <c:pt idx="242">
                  <c:v>40969</c:v>
                </c:pt>
                <c:pt idx="243">
                  <c:v>41000</c:v>
                </c:pt>
                <c:pt idx="244">
                  <c:v>41030</c:v>
                </c:pt>
                <c:pt idx="245">
                  <c:v>41061</c:v>
                </c:pt>
                <c:pt idx="246">
                  <c:v>41091</c:v>
                </c:pt>
                <c:pt idx="247">
                  <c:v>41122</c:v>
                </c:pt>
                <c:pt idx="248">
                  <c:v>41153</c:v>
                </c:pt>
                <c:pt idx="249">
                  <c:v>41183</c:v>
                </c:pt>
                <c:pt idx="250">
                  <c:v>41214</c:v>
                </c:pt>
                <c:pt idx="251">
                  <c:v>41244</c:v>
                </c:pt>
                <c:pt idx="252">
                  <c:v>41275</c:v>
                </c:pt>
                <c:pt idx="253">
                  <c:v>41306</c:v>
                </c:pt>
                <c:pt idx="254">
                  <c:v>41334</c:v>
                </c:pt>
                <c:pt idx="255">
                  <c:v>41365</c:v>
                </c:pt>
                <c:pt idx="256">
                  <c:v>41395</c:v>
                </c:pt>
                <c:pt idx="257">
                  <c:v>41426</c:v>
                </c:pt>
                <c:pt idx="258">
                  <c:v>41456</c:v>
                </c:pt>
                <c:pt idx="259">
                  <c:v>41487</c:v>
                </c:pt>
                <c:pt idx="260">
                  <c:v>41518</c:v>
                </c:pt>
                <c:pt idx="261">
                  <c:v>41548</c:v>
                </c:pt>
                <c:pt idx="262">
                  <c:v>41579</c:v>
                </c:pt>
                <c:pt idx="263">
                  <c:v>41609</c:v>
                </c:pt>
                <c:pt idx="264">
                  <c:v>41640</c:v>
                </c:pt>
                <c:pt idx="265">
                  <c:v>41671</c:v>
                </c:pt>
                <c:pt idx="266">
                  <c:v>41699</c:v>
                </c:pt>
                <c:pt idx="267">
                  <c:v>41730</c:v>
                </c:pt>
                <c:pt idx="268">
                  <c:v>41760</c:v>
                </c:pt>
                <c:pt idx="269">
                  <c:v>41791</c:v>
                </c:pt>
                <c:pt idx="270">
                  <c:v>41821</c:v>
                </c:pt>
                <c:pt idx="271">
                  <c:v>41852</c:v>
                </c:pt>
                <c:pt idx="272">
                  <c:v>41883</c:v>
                </c:pt>
                <c:pt idx="273">
                  <c:v>41913</c:v>
                </c:pt>
                <c:pt idx="274">
                  <c:v>41944</c:v>
                </c:pt>
                <c:pt idx="275">
                  <c:v>41974</c:v>
                </c:pt>
                <c:pt idx="276">
                  <c:v>42005</c:v>
                </c:pt>
                <c:pt idx="277">
                  <c:v>42036</c:v>
                </c:pt>
                <c:pt idx="278">
                  <c:v>42064</c:v>
                </c:pt>
                <c:pt idx="279">
                  <c:v>42095</c:v>
                </c:pt>
                <c:pt idx="280">
                  <c:v>42125</c:v>
                </c:pt>
                <c:pt idx="281">
                  <c:v>42156</c:v>
                </c:pt>
                <c:pt idx="282">
                  <c:v>42186</c:v>
                </c:pt>
                <c:pt idx="283">
                  <c:v>42217</c:v>
                </c:pt>
                <c:pt idx="284">
                  <c:v>42248</c:v>
                </c:pt>
                <c:pt idx="285">
                  <c:v>42278</c:v>
                </c:pt>
                <c:pt idx="286">
                  <c:v>42309</c:v>
                </c:pt>
                <c:pt idx="287">
                  <c:v>42339</c:v>
                </c:pt>
                <c:pt idx="288">
                  <c:v>42370</c:v>
                </c:pt>
                <c:pt idx="289">
                  <c:v>42401</c:v>
                </c:pt>
                <c:pt idx="290">
                  <c:v>42430</c:v>
                </c:pt>
                <c:pt idx="291">
                  <c:v>42461</c:v>
                </c:pt>
                <c:pt idx="292">
                  <c:v>42491</c:v>
                </c:pt>
                <c:pt idx="293">
                  <c:v>42522</c:v>
                </c:pt>
                <c:pt idx="294">
                  <c:v>42552</c:v>
                </c:pt>
                <c:pt idx="295">
                  <c:v>42583</c:v>
                </c:pt>
                <c:pt idx="296">
                  <c:v>42614</c:v>
                </c:pt>
                <c:pt idx="297">
                  <c:v>42644</c:v>
                </c:pt>
                <c:pt idx="298">
                  <c:v>42675</c:v>
                </c:pt>
                <c:pt idx="299">
                  <c:v>42705</c:v>
                </c:pt>
                <c:pt idx="300">
                  <c:v>42736</c:v>
                </c:pt>
                <c:pt idx="301">
                  <c:v>42767</c:v>
                </c:pt>
                <c:pt idx="302">
                  <c:v>42795</c:v>
                </c:pt>
                <c:pt idx="303">
                  <c:v>42826</c:v>
                </c:pt>
                <c:pt idx="304">
                  <c:v>42856</c:v>
                </c:pt>
                <c:pt idx="305">
                  <c:v>42887</c:v>
                </c:pt>
                <c:pt idx="306">
                  <c:v>42917</c:v>
                </c:pt>
                <c:pt idx="307">
                  <c:v>42948</c:v>
                </c:pt>
                <c:pt idx="308">
                  <c:v>42979</c:v>
                </c:pt>
                <c:pt idx="309">
                  <c:v>43009</c:v>
                </c:pt>
                <c:pt idx="310">
                  <c:v>43040</c:v>
                </c:pt>
                <c:pt idx="311">
                  <c:v>43070</c:v>
                </c:pt>
                <c:pt idx="312">
                  <c:v>43101</c:v>
                </c:pt>
                <c:pt idx="313">
                  <c:v>43132</c:v>
                </c:pt>
                <c:pt idx="314">
                  <c:v>43160</c:v>
                </c:pt>
                <c:pt idx="315">
                  <c:v>43191</c:v>
                </c:pt>
                <c:pt idx="316">
                  <c:v>43221</c:v>
                </c:pt>
                <c:pt idx="317">
                  <c:v>43252</c:v>
                </c:pt>
                <c:pt idx="318">
                  <c:v>43282</c:v>
                </c:pt>
                <c:pt idx="319">
                  <c:v>43313</c:v>
                </c:pt>
                <c:pt idx="320">
                  <c:v>43344</c:v>
                </c:pt>
                <c:pt idx="321">
                  <c:v>43374</c:v>
                </c:pt>
                <c:pt idx="322">
                  <c:v>43405</c:v>
                </c:pt>
                <c:pt idx="323">
                  <c:v>43435</c:v>
                </c:pt>
                <c:pt idx="324">
                  <c:v>43466</c:v>
                </c:pt>
                <c:pt idx="325">
                  <c:v>43497</c:v>
                </c:pt>
                <c:pt idx="326">
                  <c:v>43525</c:v>
                </c:pt>
                <c:pt idx="327">
                  <c:v>43556</c:v>
                </c:pt>
                <c:pt idx="328">
                  <c:v>43586</c:v>
                </c:pt>
                <c:pt idx="329">
                  <c:v>43617</c:v>
                </c:pt>
                <c:pt idx="330">
                  <c:v>43647</c:v>
                </c:pt>
                <c:pt idx="331">
                  <c:v>43678</c:v>
                </c:pt>
                <c:pt idx="332">
                  <c:v>43709</c:v>
                </c:pt>
                <c:pt idx="333">
                  <c:v>43739</c:v>
                </c:pt>
                <c:pt idx="334">
                  <c:v>43770</c:v>
                </c:pt>
                <c:pt idx="335">
                  <c:v>43800</c:v>
                </c:pt>
              </c:numCache>
            </c:numRef>
          </c:cat>
          <c:val>
            <c:numRef>
              <c:f>ValueOfGain!$AL$9:$AL$340</c:f>
              <c:numCache>
                <c:formatCode>General</c:formatCode>
                <c:ptCount val="332"/>
                <c:pt idx="0">
                  <c:v>1.0771428571428601</c:v>
                </c:pt>
                <c:pt idx="1">
                  <c:v>0.88952380952375165</c:v>
                </c:pt>
                <c:pt idx="2">
                  <c:v>2.1548214285713811</c:v>
                </c:pt>
                <c:pt idx="3">
                  <c:v>2.4187499999999602</c:v>
                </c:pt>
                <c:pt idx="4">
                  <c:v>3.1258531746031508</c:v>
                </c:pt>
                <c:pt idx="5">
                  <c:v>2.333511904761906</c:v>
                </c:pt>
                <c:pt idx="6">
                  <c:v>1.1163690476190311</c:v>
                </c:pt>
                <c:pt idx="7">
                  <c:v>1.7030952380952158</c:v>
                </c:pt>
                <c:pt idx="8">
                  <c:v>1.0405714285714396</c:v>
                </c:pt>
                <c:pt idx="9">
                  <c:v>0.55964285714284756</c:v>
                </c:pt>
                <c:pt idx="10">
                  <c:v>0.42626984126982848</c:v>
                </c:pt>
                <c:pt idx="11">
                  <c:v>0.59458333333333258</c:v>
                </c:pt>
                <c:pt idx="12">
                  <c:v>0.50428571428571445</c:v>
                </c:pt>
                <c:pt idx="13">
                  <c:v>0.23017857142855291</c:v>
                </c:pt>
                <c:pt idx="14">
                  <c:v>0.7162976190476229</c:v>
                </c:pt>
                <c:pt idx="15">
                  <c:v>2.4642063492063642</c:v>
                </c:pt>
                <c:pt idx="16">
                  <c:v>3.2614285714285813</c:v>
                </c:pt>
                <c:pt idx="17">
                  <c:v>1.6147896825396799</c:v>
                </c:pt>
                <c:pt idx="18">
                  <c:v>1.6673214285713982</c:v>
                </c:pt>
                <c:pt idx="19">
                  <c:v>1.0701190476190163</c:v>
                </c:pt>
                <c:pt idx="20">
                  <c:v>1.3857301587301549</c:v>
                </c:pt>
                <c:pt idx="21">
                  <c:v>1.5794047619047547</c:v>
                </c:pt>
                <c:pt idx="22">
                  <c:v>1.5193452380952124</c:v>
                </c:pt>
                <c:pt idx="23">
                  <c:v>0.58555952380950771</c:v>
                </c:pt>
                <c:pt idx="24">
                  <c:v>1.2442857142856951</c:v>
                </c:pt>
                <c:pt idx="25">
                  <c:v>1.5278571428571581</c:v>
                </c:pt>
                <c:pt idx="26">
                  <c:v>2.5190952380951899</c:v>
                </c:pt>
                <c:pt idx="27">
                  <c:v>3.8199603174603567</c:v>
                </c:pt>
                <c:pt idx="28">
                  <c:v>3.6398412698412699</c:v>
                </c:pt>
                <c:pt idx="29">
                  <c:v>2.5726269841269414</c:v>
                </c:pt>
                <c:pt idx="30">
                  <c:v>1.4504960317460416</c:v>
                </c:pt>
                <c:pt idx="31">
                  <c:v>0.93876190476188981</c:v>
                </c:pt>
                <c:pt idx="32">
                  <c:v>-0.29749999999998522</c:v>
                </c:pt>
                <c:pt idx="33">
                  <c:v>-0.28630952380950703</c:v>
                </c:pt>
                <c:pt idx="34">
                  <c:v>-2.1158730158731487E-2</c:v>
                </c:pt>
                <c:pt idx="35">
                  <c:v>-0.66928571428570649</c:v>
                </c:pt>
                <c:pt idx="36">
                  <c:v>-0.42351190476193779</c:v>
                </c:pt>
                <c:pt idx="37">
                  <c:v>1.4545833333333462</c:v>
                </c:pt>
                <c:pt idx="38">
                  <c:v>1.59192380952382</c:v>
                </c:pt>
                <c:pt idx="39">
                  <c:v>3.8328571428571365</c:v>
                </c:pt>
                <c:pt idx="40">
                  <c:v>1.7125714285714224</c:v>
                </c:pt>
                <c:pt idx="41">
                  <c:v>1.4867460317460086</c:v>
                </c:pt>
                <c:pt idx="42">
                  <c:v>-1.1455687809530133</c:v>
                </c:pt>
                <c:pt idx="43">
                  <c:v>-0.73008333333332587</c:v>
                </c:pt>
                <c:pt idx="44">
                  <c:v>-0.98446428571426736</c:v>
                </c:pt>
                <c:pt idx="45">
                  <c:v>-2.3662499999999937</c:v>
                </c:pt>
                <c:pt idx="46">
                  <c:v>-3.0648095238095436</c:v>
                </c:pt>
                <c:pt idx="47">
                  <c:v>-3.3143055555555492</c:v>
                </c:pt>
                <c:pt idx="48">
                  <c:v>-2.5042857142857002</c:v>
                </c:pt>
                <c:pt idx="49">
                  <c:v>-1.1969107142857212</c:v>
                </c:pt>
                <c:pt idx="50">
                  <c:v>-0.63749999999998863</c:v>
                </c:pt>
                <c:pt idx="51">
                  <c:v>-1.1845238095238386</c:v>
                </c:pt>
                <c:pt idx="52">
                  <c:v>-2.5119047619043045E-2</c:v>
                </c:pt>
                <c:pt idx="53">
                  <c:v>-0.59969246031745627</c:v>
                </c:pt>
                <c:pt idx="54">
                  <c:v>-2.2196666666666687</c:v>
                </c:pt>
                <c:pt idx="55">
                  <c:v>-2.9249206349206247</c:v>
                </c:pt>
                <c:pt idx="56">
                  <c:v>-2.7445833333333383</c:v>
                </c:pt>
                <c:pt idx="57">
                  <c:v>-2.3714285714285666</c:v>
                </c:pt>
                <c:pt idx="58">
                  <c:v>-2.9137103174603283</c:v>
                </c:pt>
                <c:pt idx="59">
                  <c:v>-2.9088888888888818</c:v>
                </c:pt>
                <c:pt idx="60">
                  <c:v>-0.44464285714286689</c:v>
                </c:pt>
                <c:pt idx="61">
                  <c:v>0.76416666666665378</c:v>
                </c:pt>
                <c:pt idx="62">
                  <c:v>2.3399166666666815</c:v>
                </c:pt>
                <c:pt idx="63">
                  <c:v>3.8674761904761965</c:v>
                </c:pt>
                <c:pt idx="64">
                  <c:v>2.9955952380952056</c:v>
                </c:pt>
                <c:pt idx="65">
                  <c:v>2.0502777777778078</c:v>
                </c:pt>
                <c:pt idx="66">
                  <c:v>2.9981309523809614</c:v>
                </c:pt>
                <c:pt idx="67">
                  <c:v>1.2799404761904611</c:v>
                </c:pt>
                <c:pt idx="68">
                  <c:v>2.5749603174602953</c:v>
                </c:pt>
                <c:pt idx="69">
                  <c:v>1.748892857142863</c:v>
                </c:pt>
                <c:pt idx="70">
                  <c:v>0.74023809523805539</c:v>
                </c:pt>
                <c:pt idx="71">
                  <c:v>0.94059523809522716</c:v>
                </c:pt>
                <c:pt idx="72">
                  <c:v>1.5282738095238244</c:v>
                </c:pt>
                <c:pt idx="73">
                  <c:v>3.7933333333333223</c:v>
                </c:pt>
                <c:pt idx="74">
                  <c:v>3.8201190476189879</c:v>
                </c:pt>
                <c:pt idx="75">
                  <c:v>4.3146666666666533</c:v>
                </c:pt>
                <c:pt idx="76">
                  <c:v>4.9200595238094991</c:v>
                </c:pt>
                <c:pt idx="77">
                  <c:v>1.9138690476190447</c:v>
                </c:pt>
                <c:pt idx="78">
                  <c:v>1.1691746031746106</c:v>
                </c:pt>
                <c:pt idx="79">
                  <c:v>1.4259523809523529</c:v>
                </c:pt>
                <c:pt idx="80">
                  <c:v>0.89398809523811451</c:v>
                </c:pt>
                <c:pt idx="81">
                  <c:v>0.10511904761901292</c:v>
                </c:pt>
                <c:pt idx="82">
                  <c:v>1.0979960317460495</c:v>
                </c:pt>
                <c:pt idx="83">
                  <c:v>1.4893571428571164</c:v>
                </c:pt>
                <c:pt idx="84">
                  <c:v>1.4447619047619185</c:v>
                </c:pt>
                <c:pt idx="85">
                  <c:v>1.6042261904761972</c:v>
                </c:pt>
                <c:pt idx="86">
                  <c:v>3.2152142857142962</c:v>
                </c:pt>
                <c:pt idx="87">
                  <c:v>5.6384523809524012</c:v>
                </c:pt>
                <c:pt idx="88">
                  <c:v>4.6415476190476284</c:v>
                </c:pt>
                <c:pt idx="89">
                  <c:v>3.1324206349206349</c:v>
                </c:pt>
                <c:pt idx="90">
                  <c:v>1.9215555555555284</c:v>
                </c:pt>
                <c:pt idx="91">
                  <c:v>3.0019047619047683</c:v>
                </c:pt>
                <c:pt idx="92">
                  <c:v>3.4910079365079412</c:v>
                </c:pt>
                <c:pt idx="93">
                  <c:v>0.91071428571427759</c:v>
                </c:pt>
                <c:pt idx="94">
                  <c:v>1.9763690476190163</c:v>
                </c:pt>
                <c:pt idx="95">
                  <c:v>3.2108809523809612</c:v>
                </c:pt>
                <c:pt idx="96">
                  <c:v>3.5524166666666588</c:v>
                </c:pt>
                <c:pt idx="97">
                  <c:v>3.3520833333332973</c:v>
                </c:pt>
                <c:pt idx="98">
                  <c:v>5.2609047619047544</c:v>
                </c:pt>
                <c:pt idx="99">
                  <c:v>5.0527182539682371</c:v>
                </c:pt>
                <c:pt idx="100">
                  <c:v>4.4310357142857129</c:v>
                </c:pt>
                <c:pt idx="101">
                  <c:v>4.2917261904761972</c:v>
                </c:pt>
                <c:pt idx="102">
                  <c:v>1.337083333333311</c:v>
                </c:pt>
                <c:pt idx="103">
                  <c:v>2.5500238095238217</c:v>
                </c:pt>
                <c:pt idx="104">
                  <c:v>3.3814285714285575</c:v>
                </c:pt>
                <c:pt idx="105">
                  <c:v>2.4088095238095093</c:v>
                </c:pt>
                <c:pt idx="106">
                  <c:v>1.4801428571428232</c:v>
                </c:pt>
                <c:pt idx="107">
                  <c:v>1.1283730158729668</c:v>
                </c:pt>
                <c:pt idx="108">
                  <c:v>2.3194047619047069</c:v>
                </c:pt>
                <c:pt idx="109">
                  <c:v>2.4877380952381145</c:v>
                </c:pt>
                <c:pt idx="110">
                  <c:v>6.3671428571428805</c:v>
                </c:pt>
                <c:pt idx="111">
                  <c:v>6.8380952380952067</c:v>
                </c:pt>
                <c:pt idx="112">
                  <c:v>4.5228571428571058</c:v>
                </c:pt>
                <c:pt idx="113">
                  <c:v>2.6613492063492004</c:v>
                </c:pt>
                <c:pt idx="114">
                  <c:v>1.7898809523808836</c:v>
                </c:pt>
                <c:pt idx="115">
                  <c:v>1.4202380952380338</c:v>
                </c:pt>
                <c:pt idx="116">
                  <c:v>3.4385714285714357</c:v>
                </c:pt>
                <c:pt idx="117">
                  <c:v>1.8629880952381086</c:v>
                </c:pt>
                <c:pt idx="118">
                  <c:v>2.6975992063491674</c:v>
                </c:pt>
                <c:pt idx="119">
                  <c:v>4.627579365079356</c:v>
                </c:pt>
                <c:pt idx="120">
                  <c:v>3.1642619047618723</c:v>
                </c:pt>
                <c:pt idx="121">
                  <c:v>4.7159126984126942</c:v>
                </c:pt>
                <c:pt idx="122">
                  <c:v>5.6391666666666538</c:v>
                </c:pt>
                <c:pt idx="123">
                  <c:v>5.0742619047618689</c:v>
                </c:pt>
                <c:pt idx="124">
                  <c:v>5.3294841269841413</c:v>
                </c:pt>
                <c:pt idx="125">
                  <c:v>3.3596334664555059</c:v>
                </c:pt>
                <c:pt idx="126">
                  <c:v>4.2209523809524114</c:v>
                </c:pt>
                <c:pt idx="127">
                  <c:v>1.0029960317460223</c:v>
                </c:pt>
                <c:pt idx="128">
                  <c:v>2.2290079365079407</c:v>
                </c:pt>
                <c:pt idx="129">
                  <c:v>0.83765476190473009</c:v>
                </c:pt>
                <c:pt idx="130">
                  <c:v>-0.47884920634922423</c:v>
                </c:pt>
                <c:pt idx="131">
                  <c:v>0.92400793650796231</c:v>
                </c:pt>
                <c:pt idx="132">
                  <c:v>1.3035119047618764</c:v>
                </c:pt>
                <c:pt idx="133">
                  <c:v>1.7560714285714312</c:v>
                </c:pt>
                <c:pt idx="134">
                  <c:v>3.6688253968253548</c:v>
                </c:pt>
                <c:pt idx="135">
                  <c:v>6.1849880952380829</c:v>
                </c:pt>
                <c:pt idx="136">
                  <c:v>3.9623015873016243</c:v>
                </c:pt>
                <c:pt idx="137">
                  <c:v>4.897032835445799</c:v>
                </c:pt>
                <c:pt idx="138">
                  <c:v>2.5700238095238319</c:v>
                </c:pt>
                <c:pt idx="139">
                  <c:v>2.4514880952380906</c:v>
                </c:pt>
                <c:pt idx="140">
                  <c:v>3.6097619047618821</c:v>
                </c:pt>
                <c:pt idx="141">
                  <c:v>0.26640476190470963</c:v>
                </c:pt>
                <c:pt idx="142">
                  <c:v>-1.0474801587301386</c:v>
                </c:pt>
                <c:pt idx="143">
                  <c:v>1.6234920634920798</c:v>
                </c:pt>
                <c:pt idx="144">
                  <c:v>4.9942857142856951</c:v>
                </c:pt>
                <c:pt idx="145">
                  <c:v>5.5888095238095161</c:v>
                </c:pt>
                <c:pt idx="146">
                  <c:v>7.0559523809523625</c:v>
                </c:pt>
                <c:pt idx="147">
                  <c:v>6.0323809523809473</c:v>
                </c:pt>
                <c:pt idx="148">
                  <c:v>3.1785714285713595</c:v>
                </c:pt>
                <c:pt idx="149">
                  <c:v>4.8626190476190345</c:v>
                </c:pt>
                <c:pt idx="150">
                  <c:v>2.3685714285714425</c:v>
                </c:pt>
                <c:pt idx="151">
                  <c:v>4.943333333333328</c:v>
                </c:pt>
                <c:pt idx="152">
                  <c:v>4.434285714285636</c:v>
                </c:pt>
                <c:pt idx="153">
                  <c:v>1.0257142857142867</c:v>
                </c:pt>
                <c:pt idx="154">
                  <c:v>1.8945238095238324</c:v>
                </c:pt>
                <c:pt idx="155">
                  <c:v>2.6433333333332882</c:v>
                </c:pt>
                <c:pt idx="156">
                  <c:v>5.2614285714285529</c:v>
                </c:pt>
                <c:pt idx="157">
                  <c:v>4.527857142857215</c:v>
                </c:pt>
                <c:pt idx="158">
                  <c:v>8.2140476190476193</c:v>
                </c:pt>
                <c:pt idx="159">
                  <c:v>9.5499999999999829</c:v>
                </c:pt>
                <c:pt idx="160">
                  <c:v>8.4545238095237778</c:v>
                </c:pt>
                <c:pt idx="161">
                  <c:v>7.1684285617513979</c:v>
                </c:pt>
                <c:pt idx="162">
                  <c:v>2.0660893215583087</c:v>
                </c:pt>
                <c:pt idx="163">
                  <c:v>3.4697619047618673</c:v>
                </c:pt>
                <c:pt idx="164">
                  <c:v>4.9059523809523569</c:v>
                </c:pt>
                <c:pt idx="165">
                  <c:v>1.4023809523809518</c:v>
                </c:pt>
                <c:pt idx="166">
                  <c:v>2.2311904761904771</c:v>
                </c:pt>
                <c:pt idx="167">
                  <c:v>1.2670263204903449</c:v>
                </c:pt>
                <c:pt idx="168">
                  <c:v>7.0433333333333792</c:v>
                </c:pt>
                <c:pt idx="169">
                  <c:v>8.7590476190476068</c:v>
                </c:pt>
                <c:pt idx="170">
                  <c:v>10.56976190476189</c:v>
                </c:pt>
                <c:pt idx="171">
                  <c:v>9.164285714285711</c:v>
                </c:pt>
                <c:pt idx="172">
                  <c:v>8.0304467591395223</c:v>
                </c:pt>
                <c:pt idx="173">
                  <c:v>5.7238046286145448</c:v>
                </c:pt>
                <c:pt idx="174">
                  <c:v>4.634878504783444</c:v>
                </c:pt>
                <c:pt idx="175">
                  <c:v>4.7000000000000171</c:v>
                </c:pt>
                <c:pt idx="176">
                  <c:v>3.5076190476190163</c:v>
                </c:pt>
                <c:pt idx="177">
                  <c:v>3.0978571428571229</c:v>
                </c:pt>
                <c:pt idx="178">
                  <c:v>0.89166666666662309</c:v>
                </c:pt>
                <c:pt idx="179">
                  <c:v>-0.64619047619044068</c:v>
                </c:pt>
                <c:pt idx="180">
                  <c:v>2.7397619047618775</c:v>
                </c:pt>
                <c:pt idx="181">
                  <c:v>4.7045238095238062</c:v>
                </c:pt>
                <c:pt idx="182">
                  <c:v>5.6738095238095241</c:v>
                </c:pt>
                <c:pt idx="183">
                  <c:v>5.2909523809524046</c:v>
                </c:pt>
                <c:pt idx="184">
                  <c:v>5.5014285714286189</c:v>
                </c:pt>
                <c:pt idx="185">
                  <c:v>4.7316079294961071</c:v>
                </c:pt>
                <c:pt idx="186">
                  <c:v>3.5712521277121141</c:v>
                </c:pt>
                <c:pt idx="187">
                  <c:v>5.4595238095238017</c:v>
                </c:pt>
                <c:pt idx="188">
                  <c:v>2.8909523809523705</c:v>
                </c:pt>
                <c:pt idx="189">
                  <c:v>2.6445238095238039</c:v>
                </c:pt>
                <c:pt idx="190">
                  <c:v>-0.50523809523812702</c:v>
                </c:pt>
                <c:pt idx="191">
                  <c:v>-1.0142857142857622</c:v>
                </c:pt>
                <c:pt idx="192">
                  <c:v>2.1576190476190504</c:v>
                </c:pt>
                <c:pt idx="193">
                  <c:v>5.3954761904761597</c:v>
                </c:pt>
                <c:pt idx="194">
                  <c:v>5.9895238095237744</c:v>
                </c:pt>
                <c:pt idx="195">
                  <c:v>4.6004761904761722</c:v>
                </c:pt>
                <c:pt idx="196">
                  <c:v>5.2788095238095138</c:v>
                </c:pt>
                <c:pt idx="197">
                  <c:v>4.3740476190475874</c:v>
                </c:pt>
                <c:pt idx="198">
                  <c:v>0.94791223072050457</c:v>
                </c:pt>
                <c:pt idx="199">
                  <c:v>1.3633333333333439</c:v>
                </c:pt>
                <c:pt idx="200">
                  <c:v>-1.7778571428571581</c:v>
                </c:pt>
                <c:pt idx="201">
                  <c:v>0.43952380952381986</c:v>
                </c:pt>
                <c:pt idx="202">
                  <c:v>-1.3302380952380588</c:v>
                </c:pt>
                <c:pt idx="203">
                  <c:v>-0.75833333333335418</c:v>
                </c:pt>
                <c:pt idx="204">
                  <c:v>0.69357142857137433</c:v>
                </c:pt>
                <c:pt idx="205">
                  <c:v>3.8599999999999852</c:v>
                </c:pt>
                <c:pt idx="206">
                  <c:v>4.4480952380952203</c:v>
                </c:pt>
                <c:pt idx="207">
                  <c:v>5.7407142857142901</c:v>
                </c:pt>
                <c:pt idx="208">
                  <c:v>5.9438095238095059</c:v>
                </c:pt>
                <c:pt idx="209">
                  <c:v>3.075821189175258</c:v>
                </c:pt>
                <c:pt idx="210">
                  <c:v>1.5313973303008197</c:v>
                </c:pt>
                <c:pt idx="211">
                  <c:v>0.82667674946696934</c:v>
                </c:pt>
                <c:pt idx="212">
                  <c:v>1.6440476190476261</c:v>
                </c:pt>
                <c:pt idx="213">
                  <c:v>-9.619047619045773E-2</c:v>
                </c:pt>
                <c:pt idx="214">
                  <c:v>0.93357142857144026</c:v>
                </c:pt>
                <c:pt idx="215">
                  <c:v>1.3692857142856667</c:v>
                </c:pt>
                <c:pt idx="216">
                  <c:v>1.0680952380952249</c:v>
                </c:pt>
                <c:pt idx="217">
                  <c:v>2.8254761904761949</c:v>
                </c:pt>
                <c:pt idx="218">
                  <c:v>6.8616666666666504</c:v>
                </c:pt>
                <c:pt idx="219">
                  <c:v>7.0947619047619241</c:v>
                </c:pt>
                <c:pt idx="220">
                  <c:v>4.7047619047618809</c:v>
                </c:pt>
                <c:pt idx="221">
                  <c:v>5.9967236293649648</c:v>
                </c:pt>
                <c:pt idx="222">
                  <c:v>3.3295238095238062</c:v>
                </c:pt>
                <c:pt idx="223">
                  <c:v>3.8695238095237698</c:v>
                </c:pt>
                <c:pt idx="224">
                  <c:v>0.37404761904761585</c:v>
                </c:pt>
                <c:pt idx="225">
                  <c:v>1.3945238095238039</c:v>
                </c:pt>
                <c:pt idx="226">
                  <c:v>-0.12119047619052026</c:v>
                </c:pt>
                <c:pt idx="227">
                  <c:v>2.8971428571428532</c:v>
                </c:pt>
                <c:pt idx="228">
                  <c:v>3.6769047619047228</c:v>
                </c:pt>
                <c:pt idx="229">
                  <c:v>5.8038095238094911</c:v>
                </c:pt>
                <c:pt idx="230">
                  <c:v>7.4554761904761619</c:v>
                </c:pt>
                <c:pt idx="231">
                  <c:v>9.3378571428571604</c:v>
                </c:pt>
                <c:pt idx="232">
                  <c:v>5.3123809523809769</c:v>
                </c:pt>
                <c:pt idx="233">
                  <c:v>5.8292857142857031</c:v>
                </c:pt>
                <c:pt idx="234">
                  <c:v>0.55142857142857338</c:v>
                </c:pt>
                <c:pt idx="235">
                  <c:v>4.5054761904761733</c:v>
                </c:pt>
                <c:pt idx="236">
                  <c:v>-0.11595238095245008</c:v>
                </c:pt>
                <c:pt idx="237">
                  <c:v>2.1407142857142958</c:v>
                </c:pt>
                <c:pt idx="238">
                  <c:v>-0.52023809523802811</c:v>
                </c:pt>
                <c:pt idx="239">
                  <c:v>2.4042857142857201</c:v>
                </c:pt>
                <c:pt idx="240">
                  <c:v>5.959285714285727</c:v>
                </c:pt>
                <c:pt idx="241">
                  <c:v>8.8614285714285188</c:v>
                </c:pt>
                <c:pt idx="242">
                  <c:v>10.891190476190502</c:v>
                </c:pt>
                <c:pt idx="243">
                  <c:v>14.150476190476184</c:v>
                </c:pt>
                <c:pt idx="244">
                  <c:v>7.7199999999999704</c:v>
                </c:pt>
                <c:pt idx="245">
                  <c:v>10.880777881794927</c:v>
                </c:pt>
                <c:pt idx="246">
                  <c:v>0.47519212831781488</c:v>
                </c:pt>
                <c:pt idx="247">
                  <c:v>1.7242857142856565</c:v>
                </c:pt>
                <c:pt idx="248">
                  <c:v>1.3326190476190618</c:v>
                </c:pt>
                <c:pt idx="249">
                  <c:v>1.5119047619046455</c:v>
                </c:pt>
                <c:pt idx="250">
                  <c:v>1.3695238095238551</c:v>
                </c:pt>
                <c:pt idx="251">
                  <c:v>2.5895238095238255</c:v>
                </c:pt>
                <c:pt idx="252">
                  <c:v>3.0040476190475829</c:v>
                </c:pt>
                <c:pt idx="253">
                  <c:v>2.6986217219258037</c:v>
                </c:pt>
                <c:pt idx="254">
                  <c:v>7.9883333333332871</c:v>
                </c:pt>
                <c:pt idx="255">
                  <c:v>12.026904761904746</c:v>
                </c:pt>
                <c:pt idx="256">
                  <c:v>5.412142857142868</c:v>
                </c:pt>
                <c:pt idx="257">
                  <c:v>4.8264285714285506</c:v>
                </c:pt>
                <c:pt idx="258">
                  <c:v>1.4714285714285325</c:v>
                </c:pt>
                <c:pt idx="259">
                  <c:v>2.4730952380952544</c:v>
                </c:pt>
                <c:pt idx="260">
                  <c:v>2.5561904761904657</c:v>
                </c:pt>
                <c:pt idx="261">
                  <c:v>1.8469047619046819</c:v>
                </c:pt>
                <c:pt idx="262">
                  <c:v>2.9042857142856633</c:v>
                </c:pt>
                <c:pt idx="263">
                  <c:v>4.2719047619046933</c:v>
                </c:pt>
                <c:pt idx="264">
                  <c:v>8.7126190476190004</c:v>
                </c:pt>
                <c:pt idx="265">
                  <c:v>7.8585714285714516</c:v>
                </c:pt>
                <c:pt idx="266">
                  <c:v>12.144523809523832</c:v>
                </c:pt>
                <c:pt idx="267">
                  <c:v>9.5009523809523557</c:v>
                </c:pt>
                <c:pt idx="268">
                  <c:v>7.6359523809524035</c:v>
                </c:pt>
                <c:pt idx="269">
                  <c:v>16.415714285714273</c:v>
                </c:pt>
                <c:pt idx="270">
                  <c:v>6.0721428571428078</c:v>
                </c:pt>
                <c:pt idx="271">
                  <c:v>15.987142857142828</c:v>
                </c:pt>
                <c:pt idx="272">
                  <c:v>13.017857142857167</c:v>
                </c:pt>
                <c:pt idx="273">
                  <c:v>13.373333333333278</c:v>
                </c:pt>
                <c:pt idx="274">
                  <c:v>16.636623176522619</c:v>
                </c:pt>
                <c:pt idx="275">
                  <c:v>8.9011904761904361</c:v>
                </c:pt>
                <c:pt idx="276">
                  <c:v>16.130476190475974</c:v>
                </c:pt>
                <c:pt idx="277">
                  <c:v>17.189523809523678</c:v>
                </c:pt>
                <c:pt idx="278">
                  <c:v>20.26499999999993</c:v>
                </c:pt>
                <c:pt idx="279">
                  <c:v>22.089523809523826</c:v>
                </c:pt>
                <c:pt idx="280">
                  <c:v>20.195714285714189</c:v>
                </c:pt>
                <c:pt idx="281">
                  <c:v>22.223047745832901</c:v>
                </c:pt>
                <c:pt idx="282">
                  <c:v>26.8458953507307</c:v>
                </c:pt>
                <c:pt idx="283">
                  <c:v>14.033571428571463</c:v>
                </c:pt>
                <c:pt idx="284">
                  <c:v>8.6140476190475397</c:v>
                </c:pt>
                <c:pt idx="285">
                  <c:v>-0.12500000000005684</c:v>
                </c:pt>
                <c:pt idx="286">
                  <c:v>1.5259523809522761</c:v>
                </c:pt>
                <c:pt idx="287">
                  <c:v>3.5969047619046819</c:v>
                </c:pt>
                <c:pt idx="288">
                  <c:v>5.1114285714285188</c:v>
                </c:pt>
                <c:pt idx="289">
                  <c:v>7.4700000000000273</c:v>
                </c:pt>
                <c:pt idx="290">
                  <c:v>12.105119047618984</c:v>
                </c:pt>
                <c:pt idx="291">
                  <c:v>7.400952380952333</c:v>
                </c:pt>
                <c:pt idx="292">
                  <c:v>6.0271428571427919</c:v>
                </c:pt>
                <c:pt idx="293">
                  <c:v>5.7137944891237566</c:v>
                </c:pt>
                <c:pt idx="294">
                  <c:v>5.1604737282567044</c:v>
                </c:pt>
                <c:pt idx="295">
                  <c:v>7.5488095238094957</c:v>
                </c:pt>
                <c:pt idx="296">
                  <c:v>3.1723809523809336</c:v>
                </c:pt>
                <c:pt idx="297">
                  <c:v>-3.2940476190476033</c:v>
                </c:pt>
                <c:pt idx="298">
                  <c:v>-4.498333333333278</c:v>
                </c:pt>
                <c:pt idx="299">
                  <c:v>0.6923809523809723</c:v>
                </c:pt>
                <c:pt idx="300">
                  <c:v>3.5878571428571036</c:v>
                </c:pt>
                <c:pt idx="301">
                  <c:v>4.6328571428571195</c:v>
                </c:pt>
                <c:pt idx="302">
                  <c:v>2.6285714285714903</c:v>
                </c:pt>
                <c:pt idx="303">
                  <c:v>5.545952380952258</c:v>
                </c:pt>
                <c:pt idx="304">
                  <c:v>6.709285714285727</c:v>
                </c:pt>
                <c:pt idx="305">
                  <c:v>6.2578571428571195</c:v>
                </c:pt>
                <c:pt idx="306">
                  <c:v>7.2760884973737916</c:v>
                </c:pt>
                <c:pt idx="307">
                  <c:v>4.1107142857142662</c:v>
                </c:pt>
                <c:pt idx="308">
                  <c:v>4.7545238095237892</c:v>
                </c:pt>
                <c:pt idx="309">
                  <c:v>2.1230952380952317</c:v>
                </c:pt>
                <c:pt idx="310">
                  <c:v>-3.0288095238095707</c:v>
                </c:pt>
                <c:pt idx="311">
                  <c:v>0.78476190476192187</c:v>
                </c:pt>
                <c:pt idx="312">
                  <c:v>2.2676190476190072</c:v>
                </c:pt>
                <c:pt idx="313">
                  <c:v>7.0221428571429101</c:v>
                </c:pt>
                <c:pt idx="314">
                  <c:v>12.82380952380953</c:v>
                </c:pt>
                <c:pt idx="315">
                  <c:v>13.017337329217014</c:v>
                </c:pt>
                <c:pt idx="316">
                  <c:v>9.630952380952408</c:v>
                </c:pt>
                <c:pt idx="317">
                  <c:v>6.5361904761904839</c:v>
                </c:pt>
                <c:pt idx="318">
                  <c:v>12.6291042690616</c:v>
                </c:pt>
                <c:pt idx="319">
                  <c:v>2.3573809523809359</c:v>
                </c:pt>
                <c:pt idx="320">
                  <c:v>6.0366666666666902</c:v>
                </c:pt>
                <c:pt idx="321">
                  <c:v>0.48357142857139479</c:v>
                </c:pt>
                <c:pt idx="322">
                  <c:v>1.1628571428570922</c:v>
                </c:pt>
                <c:pt idx="323">
                  <c:v>-0.81571428571419347</c:v>
                </c:pt>
                <c:pt idx="324">
                  <c:v>3.372142857142876</c:v>
                </c:pt>
                <c:pt idx="325">
                  <c:v>8.0502380952381145</c:v>
                </c:pt>
                <c:pt idx="326">
                  <c:v>8.6066666666665697</c:v>
                </c:pt>
                <c:pt idx="327">
                  <c:v>11.825794919056762</c:v>
                </c:pt>
                <c:pt idx="328">
                  <c:v>9.4133333333333553</c:v>
                </c:pt>
                <c:pt idx="329">
                  <c:v>3.7635714285713675</c:v>
                </c:pt>
                <c:pt idx="330">
                  <c:v>2.1633333333333553</c:v>
                </c:pt>
                <c:pt idx="331">
                  <c:v>4.353333333333353</c:v>
                </c:pt>
              </c:numCache>
            </c:numRef>
          </c:val>
          <c:extLst xmlns:c16r2="http://schemas.microsoft.com/office/drawing/2015/06/chart">
            <c:ext xmlns:c16="http://schemas.microsoft.com/office/drawing/2014/chart" uri="{C3380CC4-5D6E-409C-BE32-E72D297353CC}">
              <c16:uniqueId val="{00000001-6FB4-40A3-836D-D82B04DA5E33}"/>
            </c:ext>
          </c:extLst>
        </c:ser>
        <c:dLbls/>
        <c:marker val="1"/>
        <c:axId val="123187584"/>
        <c:axId val="123189504"/>
      </c:lineChart>
      <c:dateAx>
        <c:axId val="123187584"/>
        <c:scaling>
          <c:orientation val="minMax"/>
        </c:scaling>
        <c:axPos val="b"/>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a:t>Month-Year</a:t>
                </a:r>
              </a:p>
            </c:rich>
          </c:tx>
          <c:layout>
            <c:manualLayout>
              <c:xMode val="edge"/>
              <c:yMode val="edge"/>
              <c:x val="0.46996314264663452"/>
              <c:y val="0.93177952612065051"/>
            </c:manualLayout>
          </c:layout>
          <c:spPr>
            <a:noFill/>
            <a:ln>
              <a:noFill/>
            </a:ln>
            <a:effectLst/>
          </c:spPr>
        </c:title>
        <c:numFmt formatCode="[$-409]mmm\-yy;@" sourceLinked="0"/>
        <c:maj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23189504"/>
        <c:crosses val="autoZero"/>
        <c:auto val="1"/>
        <c:lblOffset val="100"/>
        <c:baseTimeUnit val="months"/>
        <c:majorUnit val="12"/>
      </c:dateAx>
      <c:valAx>
        <c:axId val="123189504"/>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a:t>Price slide, $/cwt</a:t>
                </a:r>
              </a:p>
            </c:rich>
          </c:tx>
          <c:spPr>
            <a:noFill/>
            <a:ln>
              <a:noFill/>
            </a:ln>
            <a:effectLst/>
          </c:spPr>
        </c:title>
        <c:numFmt formatCode="#,##0" sourceLinked="0"/>
        <c:majorTickMark val="none"/>
        <c:tickLblPos val="nextTo"/>
        <c:spPr>
          <a:noFill/>
          <a:ln w="15875">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23187584"/>
        <c:crosses val="autoZero"/>
        <c:crossBetween val="between"/>
      </c:valAx>
      <c:spPr>
        <a:noFill/>
        <a:ln>
          <a:noFill/>
        </a:ln>
        <a:effectLst/>
      </c:spPr>
    </c:plotArea>
    <c:legend>
      <c:legendPos val="r"/>
      <c:layout>
        <c:manualLayout>
          <c:xMode val="edge"/>
          <c:yMode val="edge"/>
          <c:x val="0.12997710723570646"/>
          <c:y val="0.13154914558756045"/>
          <c:w val="0.23595165824755546"/>
          <c:h val="0.10182624187373802"/>
        </c:manualLayout>
      </c:layout>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19050" cap="flat" cmpd="sng" algn="ctr">
      <a:solidFill>
        <a:schemeClr val="tx1"/>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4761</xdr:colOff>
      <xdr:row>122</xdr:row>
      <xdr:rowOff>33336</xdr:rowOff>
    </xdr:from>
    <xdr:to>
      <xdr:col>6</xdr:col>
      <xdr:colOff>885824</xdr:colOff>
      <xdr:row>141</xdr:row>
      <xdr:rowOff>19049</xdr:rowOff>
    </xdr:to>
    <xdr:graphicFrame macro="">
      <xdr:nvGraphicFramePr>
        <xdr:cNvPr id="5" name="Chart 4">
          <a:extLst>
            <a:ext uri="{FF2B5EF4-FFF2-40B4-BE49-F238E27FC236}">
              <a16:creationId xmlns:a16="http://schemas.microsoft.com/office/drawing/2014/main" xmlns=""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647700</xdr:colOff>
      <xdr:row>2</xdr:row>
      <xdr:rowOff>47626</xdr:rowOff>
    </xdr:from>
    <xdr:to>
      <xdr:col>9</xdr:col>
      <xdr:colOff>876300</xdr:colOff>
      <xdr:row>5</xdr:row>
      <xdr:rowOff>46486</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rotWithShape="1">
        <a:blip xmlns:r="http://schemas.openxmlformats.org/officeDocument/2006/relationships" r:embed="rId2" cstate="print"/>
        <a:srcRect l="5157" t="10555" r="78514" b="73750"/>
        <a:stretch/>
      </xdr:blipFill>
      <xdr:spPr>
        <a:xfrm>
          <a:off x="8181975" y="457201"/>
          <a:ext cx="1143000" cy="617985"/>
        </a:xfrm>
        <a:prstGeom prst="rect">
          <a:avLst/>
        </a:prstGeom>
      </xdr:spPr>
    </xdr:pic>
    <xdr:clientData/>
  </xdr:twoCellAnchor>
  <xdr:twoCellAnchor editAs="oneCell">
    <xdr:from>
      <xdr:col>1</xdr:col>
      <xdr:colOff>28575</xdr:colOff>
      <xdr:row>30</xdr:row>
      <xdr:rowOff>95250</xdr:rowOff>
    </xdr:from>
    <xdr:to>
      <xdr:col>1</xdr:col>
      <xdr:colOff>1124369</xdr:colOff>
      <xdr:row>33</xdr:row>
      <xdr:rowOff>136398</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76250" y="6238875"/>
          <a:ext cx="1095794" cy="612648"/>
        </a:xfrm>
        <a:prstGeom prst="rect">
          <a:avLst/>
        </a:prstGeom>
      </xdr:spPr>
    </xdr:pic>
    <xdr:clientData/>
  </xdr:twoCellAnchor>
  <xdr:twoCellAnchor editAs="oneCell">
    <xdr:from>
      <xdr:col>14</xdr:col>
      <xdr:colOff>9525</xdr:colOff>
      <xdr:row>2</xdr:row>
      <xdr:rowOff>9522</xdr:rowOff>
    </xdr:from>
    <xdr:to>
      <xdr:col>21</xdr:col>
      <xdr:colOff>24384</xdr:colOff>
      <xdr:row>19</xdr:row>
      <xdr:rowOff>64767</xdr:rowOff>
    </xdr:to>
    <xdr:graphicFrame macro="">
      <xdr:nvGraphicFramePr>
        <xdr:cNvPr id="8" name="Chart 7">
          <a:extLst>
            <a:ext uri="{FF2B5EF4-FFF2-40B4-BE49-F238E27FC236}">
              <a16:creationId xmlns:a16="http://schemas.microsoft.com/office/drawing/2014/main" xmlns=""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0.32112</cdr:x>
      <cdr:y>0.07675</cdr:y>
    </cdr:from>
    <cdr:to>
      <cdr:x>0.74796</cdr:x>
      <cdr:y>0.1398</cdr:y>
    </cdr:to>
    <cdr:sp macro="" textlink="'Cow-calf'!$P$14">
      <cdr:nvSpPr>
        <cdr:cNvPr id="3" name="TextBox 2"/>
        <cdr:cNvSpPr txBox="1"/>
      </cdr:nvSpPr>
      <cdr:spPr>
        <a:xfrm xmlns:a="http://schemas.openxmlformats.org/drawingml/2006/main">
          <a:off x="1562100" y="266702"/>
          <a:ext cx="2076450" cy="2190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93F50EB-0C3A-4438-AD11-366AE5E012A0}" type="TxLink">
            <a:rPr lang="en-US" sz="1100" b="1" i="0" u="none" strike="noStrike">
              <a:solidFill>
                <a:srgbClr val="000000"/>
              </a:solidFill>
              <a:latin typeface="Calibri"/>
            </a:rPr>
            <a:pPr algn="ctr"/>
            <a:t>Rumensin = 200 mg/hd/d</a:t>
          </a:fld>
          <a:endParaRPr lang="en-US" sz="1100" b="1"/>
        </a:p>
      </cdr:txBody>
    </cdr:sp>
  </cdr:relSizeAnchor>
  <cdr:relSizeAnchor xmlns:cdr="http://schemas.openxmlformats.org/drawingml/2006/chartDrawing">
    <cdr:from>
      <cdr:x>0.15806</cdr:x>
      <cdr:y>0.17635</cdr:y>
    </cdr:from>
    <cdr:to>
      <cdr:x>0.64314</cdr:x>
      <cdr:y>0.2553</cdr:y>
    </cdr:to>
    <cdr:sp macro="" textlink="'Cow-calf'!$P$12">
      <cdr:nvSpPr>
        <cdr:cNvPr id="4" name="TextBox 1"/>
        <cdr:cNvSpPr txBox="1"/>
      </cdr:nvSpPr>
      <cdr:spPr>
        <a:xfrm xmlns:a="http://schemas.openxmlformats.org/drawingml/2006/main">
          <a:off x="774700" y="612775"/>
          <a:ext cx="2377440" cy="27432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361668DD-24AC-4EC2-8145-CBFCF18B477C}" type="TxLink">
            <a:rPr lang="en-US" sz="1000" b="1" i="0" u="none" strike="noStrike">
              <a:solidFill>
                <a:srgbClr val="000000"/>
              </a:solidFill>
              <a:latin typeface="Calibri"/>
            </a:rPr>
            <a:pPr algn="ctr"/>
            <a:t>Each 5.0% discount in price = $0.15/hd/yr</a:t>
          </a:fld>
          <a:endParaRPr lang="en-US" sz="1000" b="1"/>
        </a:p>
      </cdr:txBody>
    </cdr:sp>
  </cdr:relSizeAnchor>
  <cdr:relSizeAnchor xmlns:cdr="http://schemas.openxmlformats.org/drawingml/2006/chartDrawing">
    <cdr:from>
      <cdr:x>0.01119</cdr:x>
      <cdr:y>0.9439</cdr:y>
    </cdr:from>
    <cdr:to>
      <cdr:x>1</cdr:x>
      <cdr:y>0.99653</cdr:y>
    </cdr:to>
    <cdr:sp macro="" textlink="">
      <cdr:nvSpPr>
        <cdr:cNvPr id="5" name="TextBox 1"/>
        <cdr:cNvSpPr txBox="1"/>
      </cdr:nvSpPr>
      <cdr:spPr>
        <a:xfrm xmlns:a="http://schemas.openxmlformats.org/drawingml/2006/main">
          <a:off x="54864" y="3279775"/>
          <a:ext cx="4846320" cy="182880"/>
        </a:xfrm>
        <a:prstGeom xmlns:a="http://schemas.openxmlformats.org/drawingml/2006/main" prst="rect">
          <a:avLst/>
        </a:prstGeom>
      </cdr:spPr>
      <cdr:txBody>
        <a:bodyPr xmlns:a="http://schemas.openxmlformats.org/drawingml/2006/main" wrap="square" lIns="45720" rIns="4572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DISCLAIMER: Currently</a:t>
          </a:r>
          <a:r>
            <a:rPr lang="en-US" sz="800" b="1" baseline="0"/>
            <a:t> no animal feeding data exists as to relative efficacy of generic monensin vs. Rumensin.</a:t>
          </a:r>
          <a:endParaRPr lang="en-US" sz="800" b="1"/>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38100</xdr:colOff>
      <xdr:row>43</xdr:row>
      <xdr:rowOff>38101</xdr:rowOff>
    </xdr:from>
    <xdr:to>
      <xdr:col>1</xdr:col>
      <xdr:colOff>952500</xdr:colOff>
      <xdr:row>45</xdr:row>
      <xdr:rowOff>168334</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85775" y="8858251"/>
          <a:ext cx="914400" cy="511233"/>
        </a:xfrm>
        <a:prstGeom prst="rect">
          <a:avLst/>
        </a:prstGeom>
      </xdr:spPr>
    </xdr:pic>
    <xdr:clientData/>
  </xdr:twoCellAnchor>
  <xdr:twoCellAnchor editAs="oneCell">
    <xdr:from>
      <xdr:col>5</xdr:col>
      <xdr:colOff>600075</xdr:colOff>
      <xdr:row>35</xdr:row>
      <xdr:rowOff>38101</xdr:rowOff>
    </xdr:from>
    <xdr:to>
      <xdr:col>6</xdr:col>
      <xdr:colOff>866775</xdr:colOff>
      <xdr:row>38</xdr:row>
      <xdr:rowOff>84586</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xdr:cNvPicPr>
      </xdr:nvPicPr>
      <xdr:blipFill rotWithShape="1">
        <a:blip xmlns:r="http://schemas.openxmlformats.org/officeDocument/2006/relationships" r:embed="rId2" cstate="print"/>
        <a:srcRect l="5157" t="10555" r="78514" b="73750"/>
        <a:stretch/>
      </xdr:blipFill>
      <xdr:spPr>
        <a:xfrm>
          <a:off x="5591175" y="6572251"/>
          <a:ext cx="1143000" cy="617985"/>
        </a:xfrm>
        <a:prstGeom prst="rect">
          <a:avLst/>
        </a:prstGeom>
      </xdr:spPr>
    </xdr:pic>
    <xdr:clientData/>
  </xdr:twoCellAnchor>
  <xdr:twoCellAnchor editAs="oneCell">
    <xdr:from>
      <xdr:col>8</xdr:col>
      <xdr:colOff>9524</xdr:colOff>
      <xdr:row>2</xdr:row>
      <xdr:rowOff>9522</xdr:rowOff>
    </xdr:from>
    <xdr:to>
      <xdr:col>15</xdr:col>
      <xdr:colOff>24383</xdr:colOff>
      <xdr:row>19</xdr:row>
      <xdr:rowOff>140967</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9524</xdr:colOff>
      <xdr:row>20</xdr:row>
      <xdr:rowOff>38100</xdr:rowOff>
    </xdr:from>
    <xdr:to>
      <xdr:col>15</xdr:col>
      <xdr:colOff>24383</xdr:colOff>
      <xdr:row>37</xdr:row>
      <xdr:rowOff>140970</xdr:rowOff>
    </xdr:to>
    <xdr:graphicFrame macro="">
      <xdr:nvGraphicFramePr>
        <xdr:cNvPr id="7" name="Chart 6">
          <a:extLst>
            <a:ext uri="{FF2B5EF4-FFF2-40B4-BE49-F238E27FC236}">
              <a16:creationId xmlns:a16="http://schemas.microsoft.com/office/drawing/2014/main" xmlns=""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0.32112</cdr:x>
      <cdr:y>0.07675</cdr:y>
    </cdr:from>
    <cdr:to>
      <cdr:x>0.74796</cdr:x>
      <cdr:y>0.1398</cdr:y>
    </cdr:to>
    <cdr:sp macro="" textlink="Feedlot!$J$14">
      <cdr:nvSpPr>
        <cdr:cNvPr id="3" name="TextBox 2"/>
        <cdr:cNvSpPr txBox="1"/>
      </cdr:nvSpPr>
      <cdr:spPr>
        <a:xfrm xmlns:a="http://schemas.openxmlformats.org/drawingml/2006/main">
          <a:off x="1562100" y="266702"/>
          <a:ext cx="2076450" cy="2190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2B1B8B-0123-427F-9091-1512620C9221}" type="TxLink">
            <a:rPr lang="en-US" sz="1100" b="1" i="0" u="none" strike="noStrike">
              <a:solidFill>
                <a:srgbClr val="000000"/>
              </a:solidFill>
              <a:latin typeface="Calibri"/>
            </a:rPr>
            <a:pPr algn="ctr"/>
            <a:t>Rumensin = 30 g/ton</a:t>
          </a:fld>
          <a:endParaRPr lang="en-US" sz="1100" b="1"/>
        </a:p>
      </cdr:txBody>
    </cdr:sp>
  </cdr:relSizeAnchor>
  <cdr:relSizeAnchor xmlns:cdr="http://schemas.openxmlformats.org/drawingml/2006/chartDrawing">
    <cdr:from>
      <cdr:x>0.16513</cdr:x>
      <cdr:y>0.20651</cdr:y>
    </cdr:from>
    <cdr:to>
      <cdr:x>0.67264</cdr:x>
      <cdr:y>0.286</cdr:y>
    </cdr:to>
    <cdr:sp macro="" textlink="Feedlot!$J$12">
      <cdr:nvSpPr>
        <cdr:cNvPr id="4" name="TextBox 1"/>
        <cdr:cNvSpPr txBox="1"/>
      </cdr:nvSpPr>
      <cdr:spPr>
        <a:xfrm xmlns:a="http://schemas.openxmlformats.org/drawingml/2006/main">
          <a:off x="803274" y="717550"/>
          <a:ext cx="2468880" cy="27622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8297F3F-2368-4E32-86CD-4EE794CFD59E}" type="TxLink">
            <a:rPr lang="en-US" sz="1000" b="1" i="0" u="none" strike="noStrike">
              <a:solidFill>
                <a:srgbClr val="000000"/>
              </a:solidFill>
              <a:latin typeface="Calibri"/>
            </a:rPr>
            <a:pPr algn="ctr"/>
            <a:t>Each 5.0% discount in price = $0.30/hd</a:t>
          </a:fld>
          <a:endParaRPr lang="en-US" sz="1000" b="1">
            <a:solidFill>
              <a:sysClr val="windowText" lastClr="000000"/>
            </a:solidFill>
          </a:endParaRPr>
        </a:p>
      </cdr:txBody>
    </cdr:sp>
  </cdr:relSizeAnchor>
  <cdr:relSizeAnchor xmlns:cdr="http://schemas.openxmlformats.org/drawingml/2006/chartDrawing">
    <cdr:from>
      <cdr:x>0.01119</cdr:x>
      <cdr:y>0.94115</cdr:y>
    </cdr:from>
    <cdr:to>
      <cdr:x>1</cdr:x>
      <cdr:y>0.99379</cdr:y>
    </cdr:to>
    <cdr:sp macro="" textlink="">
      <cdr:nvSpPr>
        <cdr:cNvPr id="5" name="TextBox 1"/>
        <cdr:cNvSpPr txBox="1"/>
      </cdr:nvSpPr>
      <cdr:spPr>
        <a:xfrm xmlns:a="http://schemas.openxmlformats.org/drawingml/2006/main">
          <a:off x="54864" y="3270250"/>
          <a:ext cx="4846320" cy="182880"/>
        </a:xfrm>
        <a:prstGeom xmlns:a="http://schemas.openxmlformats.org/drawingml/2006/main" prst="rect">
          <a:avLst/>
        </a:prstGeom>
      </cdr:spPr>
      <cdr:txBody>
        <a:bodyPr xmlns:a="http://schemas.openxmlformats.org/drawingml/2006/main" wrap="square" lIns="45720" rIns="4572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DISCLAIMER: Currently</a:t>
          </a:r>
          <a:r>
            <a:rPr lang="en-US" sz="800" b="1" baseline="0"/>
            <a:t> no animal feeding data exists as to relative efficacy of generic monensin vs. Rumensin.</a:t>
          </a:r>
          <a:endParaRPr lang="en-US" sz="800" b="1"/>
        </a:p>
      </cdr:txBody>
    </cdr:sp>
  </cdr:relSizeAnchor>
</c:userShapes>
</file>

<file path=xl/drawings/drawing5.xml><?xml version="1.0" encoding="utf-8"?>
<c:userShapes xmlns:c="http://schemas.openxmlformats.org/drawingml/2006/chart">
  <cdr:relSizeAnchor xmlns:cdr="http://schemas.openxmlformats.org/drawingml/2006/chartDrawing">
    <cdr:from>
      <cdr:x>0.32112</cdr:x>
      <cdr:y>0.07675</cdr:y>
    </cdr:from>
    <cdr:to>
      <cdr:x>0.74796</cdr:x>
      <cdr:y>0.1398</cdr:y>
    </cdr:to>
    <cdr:sp macro="" textlink="Feedlot!$J$33">
      <cdr:nvSpPr>
        <cdr:cNvPr id="3" name="TextBox 2"/>
        <cdr:cNvSpPr txBox="1"/>
      </cdr:nvSpPr>
      <cdr:spPr>
        <a:xfrm xmlns:a="http://schemas.openxmlformats.org/drawingml/2006/main">
          <a:off x="1562100" y="266702"/>
          <a:ext cx="2076450" cy="2190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BDC6C827-A22C-4E51-A1A3-7DEC052CA82D}" type="TxLink">
            <a:rPr lang="en-US" sz="1100" b="1" i="0" u="none" strike="noStrike">
              <a:solidFill>
                <a:srgbClr val="000000"/>
              </a:solidFill>
              <a:latin typeface="Calibri"/>
            </a:rPr>
            <a:pPr algn="ctr"/>
            <a:t>Rumensin = 40 g/ton</a:t>
          </a:fld>
          <a:endParaRPr lang="en-US" sz="1100" b="1"/>
        </a:p>
      </cdr:txBody>
    </cdr:sp>
  </cdr:relSizeAnchor>
  <cdr:relSizeAnchor xmlns:cdr="http://schemas.openxmlformats.org/drawingml/2006/chartDrawing">
    <cdr:from>
      <cdr:x>0.16513</cdr:x>
      <cdr:y>0.20651</cdr:y>
    </cdr:from>
    <cdr:to>
      <cdr:x>0.67264</cdr:x>
      <cdr:y>0.286</cdr:y>
    </cdr:to>
    <cdr:sp macro="" textlink="Feedlot!$J$31">
      <cdr:nvSpPr>
        <cdr:cNvPr id="4" name="TextBox 1"/>
        <cdr:cNvSpPr txBox="1"/>
      </cdr:nvSpPr>
      <cdr:spPr>
        <a:xfrm xmlns:a="http://schemas.openxmlformats.org/drawingml/2006/main">
          <a:off x="803274" y="717550"/>
          <a:ext cx="2468880" cy="27622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2E30667-89ED-4E39-B6DF-6DD803A33C97}" type="TxLink">
            <a:rPr lang="en-US" sz="1000" b="1" i="0" u="none" strike="noStrike">
              <a:solidFill>
                <a:srgbClr val="000000"/>
              </a:solidFill>
              <a:latin typeface="Calibri"/>
            </a:rPr>
            <a:pPr algn="ctr"/>
            <a:t>Each 5.0% discount in price = $0.40/hd</a:t>
          </a:fld>
          <a:endParaRPr lang="en-US" sz="1000" b="1">
            <a:solidFill>
              <a:sysClr val="windowText" lastClr="000000"/>
            </a:solidFill>
          </a:endParaRPr>
        </a:p>
      </cdr:txBody>
    </cdr:sp>
  </cdr:relSizeAnchor>
  <cdr:relSizeAnchor xmlns:cdr="http://schemas.openxmlformats.org/drawingml/2006/chartDrawing">
    <cdr:from>
      <cdr:x>0.00842</cdr:x>
      <cdr:y>0.94115</cdr:y>
    </cdr:from>
    <cdr:to>
      <cdr:x>0.99723</cdr:x>
      <cdr:y>0.99379</cdr:y>
    </cdr:to>
    <cdr:sp macro="" textlink="">
      <cdr:nvSpPr>
        <cdr:cNvPr id="5" name="TextBox 1"/>
        <cdr:cNvSpPr txBox="1"/>
      </cdr:nvSpPr>
      <cdr:spPr>
        <a:xfrm xmlns:a="http://schemas.openxmlformats.org/drawingml/2006/main">
          <a:off x="41275" y="3270250"/>
          <a:ext cx="4846320" cy="182880"/>
        </a:xfrm>
        <a:prstGeom xmlns:a="http://schemas.openxmlformats.org/drawingml/2006/main" prst="rect">
          <a:avLst/>
        </a:prstGeom>
      </cdr:spPr>
      <cdr:txBody>
        <a:bodyPr xmlns:a="http://schemas.openxmlformats.org/drawingml/2006/main" wrap="square" lIns="45720" rIns="4572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DISCLAIMER: Currently</a:t>
          </a:r>
          <a:r>
            <a:rPr lang="en-US" sz="800" b="1" baseline="0"/>
            <a:t> no animal feeding data exists as to relative efficacy of generic monensin vs. Rumensin.</a:t>
          </a:r>
          <a:endParaRPr lang="en-US" sz="800" b="1"/>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28575</xdr:colOff>
      <xdr:row>1</xdr:row>
      <xdr:rowOff>9525</xdr:rowOff>
    </xdr:from>
    <xdr:to>
      <xdr:col>26</xdr:col>
      <xdr:colOff>28575</xdr:colOff>
      <xdr:row>10</xdr:row>
      <xdr:rowOff>83185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rotWithShape="1">
        <a:blip xmlns:r="http://schemas.openxmlformats.org/officeDocument/2006/relationships" r:embed="rId1" cstate="print"/>
        <a:srcRect l="2914" t="40198" r="26211" b="38646"/>
        <a:stretch/>
      </xdr:blipFill>
      <xdr:spPr>
        <a:xfrm>
          <a:off x="8429625" y="200025"/>
          <a:ext cx="7315200" cy="1788160"/>
        </a:xfrm>
        <a:prstGeom prst="rect">
          <a:avLst/>
        </a:prstGeom>
        <a:ln w="25400">
          <a:solidFill>
            <a:srgbClr val="FF9933"/>
          </a:solidFill>
        </a:ln>
      </xdr:spPr>
    </xdr:pic>
    <xdr:clientData/>
  </xdr:twoCellAnchor>
  <xdr:twoCellAnchor editAs="oneCell">
    <xdr:from>
      <xdr:col>1</xdr:col>
      <xdr:colOff>9525</xdr:colOff>
      <xdr:row>1</xdr:row>
      <xdr:rowOff>0</xdr:rowOff>
    </xdr:from>
    <xdr:to>
      <xdr:col>12</xdr:col>
      <xdr:colOff>590550</xdr:colOff>
      <xdr:row>50</xdr:row>
      <xdr:rowOff>110289</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2" cstate="print"/>
        <a:srcRect l="8333" t="9978" r="30634" b="1008"/>
        <a:stretch/>
      </xdr:blipFill>
      <xdr:spPr>
        <a:xfrm>
          <a:off x="457200" y="190500"/>
          <a:ext cx="7315200" cy="9444789"/>
        </a:xfrm>
        <a:prstGeom prst="rect">
          <a:avLst/>
        </a:prstGeom>
        <a:ln w="25400">
          <a:solidFill>
            <a:srgbClr val="FF9900"/>
          </a:solidFill>
        </a:ln>
      </xdr:spPr>
    </xdr:pic>
    <xdr:clientData/>
  </xdr:twoCellAnchor>
  <xdr:twoCellAnchor editAs="oneCell">
    <xdr:from>
      <xdr:col>14</xdr:col>
      <xdr:colOff>28575</xdr:colOff>
      <xdr:row>12</xdr:row>
      <xdr:rowOff>17432</xdr:rowOff>
    </xdr:from>
    <xdr:to>
      <xdr:col>26</xdr:col>
      <xdr:colOff>28575</xdr:colOff>
      <xdr:row>27</xdr:row>
      <xdr:rowOff>103854</xdr:rowOff>
    </xdr:to>
    <xdr:pic>
      <xdr:nvPicPr>
        <xdr:cNvPr id="6" name="Picture 5">
          <a:extLst>
            <a:ext uri="{FF2B5EF4-FFF2-40B4-BE49-F238E27FC236}">
              <a16:creationId xmlns:a16="http://schemas.microsoft.com/office/drawing/2014/main" xmlns="" id="{00000000-0008-0000-0300-000006000000}"/>
            </a:ext>
          </a:extLst>
        </xdr:cNvPr>
        <xdr:cNvPicPr>
          <a:picLocks noChangeAspect="1"/>
        </xdr:cNvPicPr>
      </xdr:nvPicPr>
      <xdr:blipFill rotWithShape="1">
        <a:blip xmlns:r="http://schemas.openxmlformats.org/officeDocument/2006/relationships" r:embed="rId3" cstate="print"/>
        <a:srcRect l="23389" t="32889" r="5579" b="32203"/>
        <a:stretch/>
      </xdr:blipFill>
      <xdr:spPr>
        <a:xfrm>
          <a:off x="8429625" y="2303432"/>
          <a:ext cx="7315200" cy="2943922"/>
        </a:xfrm>
        <a:prstGeom prst="rect">
          <a:avLst/>
        </a:prstGeom>
        <a:ln w="25400">
          <a:solidFill>
            <a:srgbClr val="FF9933"/>
          </a:solidFill>
        </a:ln>
      </xdr:spPr>
    </xdr:pic>
    <xdr:clientData/>
  </xdr:twoCellAnchor>
  <xdr:twoCellAnchor editAs="oneCell">
    <xdr:from>
      <xdr:col>14</xdr:col>
      <xdr:colOff>28575</xdr:colOff>
      <xdr:row>29</xdr:row>
      <xdr:rowOff>38100</xdr:rowOff>
    </xdr:from>
    <xdr:to>
      <xdr:col>26</xdr:col>
      <xdr:colOff>28575</xdr:colOff>
      <xdr:row>38</xdr:row>
      <xdr:rowOff>40516</xdr:rowOff>
    </xdr:to>
    <xdr:pic>
      <xdr:nvPicPr>
        <xdr:cNvPr id="7" name="Picture 6">
          <a:extLst>
            <a:ext uri="{FF2B5EF4-FFF2-40B4-BE49-F238E27FC236}">
              <a16:creationId xmlns:a16="http://schemas.microsoft.com/office/drawing/2014/main" xmlns="" id="{00000000-0008-0000-0300-000007000000}"/>
            </a:ext>
          </a:extLst>
        </xdr:cNvPr>
        <xdr:cNvPicPr>
          <a:picLocks noChangeAspect="1"/>
        </xdr:cNvPicPr>
      </xdr:nvPicPr>
      <xdr:blipFill rotWithShape="1">
        <a:blip xmlns:r="http://schemas.openxmlformats.org/officeDocument/2006/relationships" r:embed="rId4" cstate="print"/>
        <a:srcRect l="23546" t="26638" r="5657" b="53071"/>
        <a:stretch/>
      </xdr:blipFill>
      <xdr:spPr>
        <a:xfrm>
          <a:off x="8429625" y="5562600"/>
          <a:ext cx="7315200" cy="1716916"/>
        </a:xfrm>
        <a:prstGeom prst="rect">
          <a:avLst/>
        </a:prstGeom>
        <a:ln w="25400">
          <a:solidFill>
            <a:srgbClr val="FF9933"/>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3</xdr:row>
      <xdr:rowOff>0</xdr:rowOff>
    </xdr:from>
    <xdr:to>
      <xdr:col>14</xdr:col>
      <xdr:colOff>713232</xdr:colOff>
      <xdr:row>26</xdr:row>
      <xdr:rowOff>44610</xdr:rowOff>
    </xdr:to>
    <xdr:graphicFrame macro="">
      <xdr:nvGraphicFramePr>
        <xdr:cNvPr id="4" name="Chart 3">
          <a:extLst>
            <a:ext uri="{FF2B5EF4-FFF2-40B4-BE49-F238E27FC236}">
              <a16:creationId xmlns:a16="http://schemas.microsoft.com/office/drawing/2014/main" xmlns="" id="{00000000-0008-0000-04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3</xdr:row>
      <xdr:rowOff>19050</xdr:rowOff>
    </xdr:from>
    <xdr:to>
      <xdr:col>1</xdr:col>
      <xdr:colOff>7371207</xdr:colOff>
      <xdr:row>3</xdr:row>
      <xdr:rowOff>5075682</xdr:rowOff>
    </xdr:to>
    <xdr:pic>
      <xdr:nvPicPr>
        <xdr:cNvPr id="3" name="Picture 2">
          <a:extLst>
            <a:ext uri="{FF2B5EF4-FFF2-40B4-BE49-F238E27FC236}">
              <a16:creationId xmlns:a16="http://schemas.microsoft.com/office/drawing/2014/main" xmlns=""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38175" y="590550"/>
          <a:ext cx="7342632" cy="5056632"/>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published="0"/>
  <dimension ref="A2:R52"/>
  <sheetViews>
    <sheetView showGridLines="0" workbookViewId="0"/>
  </sheetViews>
  <sheetFormatPr defaultRowHeight="14.5"/>
  <cols>
    <col min="1" max="1" width="6.6328125" customWidth="1"/>
    <col min="2" max="2" width="9.6328125" customWidth="1"/>
  </cols>
  <sheetData>
    <row r="2" spans="1:18">
      <c r="B2" s="205" t="s">
        <v>98</v>
      </c>
      <c r="C2" s="206"/>
      <c r="D2" s="206"/>
      <c r="E2" s="206"/>
      <c r="F2" s="206"/>
      <c r="G2" s="206"/>
      <c r="H2" s="206"/>
      <c r="I2" s="206"/>
      <c r="J2" s="206"/>
      <c r="K2" s="206"/>
      <c r="L2" s="206"/>
      <c r="M2" s="206"/>
      <c r="N2" s="206"/>
      <c r="O2" s="319" t="str">
        <f>'Cow-calf'!J2</f>
        <v>Version:  3.25.20</v>
      </c>
    </row>
    <row r="3" spans="1:18">
      <c r="B3" s="207"/>
      <c r="C3" s="197" t="s">
        <v>102</v>
      </c>
      <c r="D3" s="197"/>
      <c r="E3" s="197"/>
      <c r="F3" s="197"/>
      <c r="G3" s="197"/>
      <c r="H3" s="197"/>
      <c r="I3" s="197"/>
      <c r="J3" s="197"/>
      <c r="K3" s="197"/>
      <c r="L3" s="197"/>
      <c r="M3" s="197"/>
      <c r="N3" s="197"/>
      <c r="O3" s="197"/>
    </row>
    <row r="4" spans="1:18">
      <c r="B4" s="236"/>
      <c r="C4" s="220" t="s">
        <v>105</v>
      </c>
      <c r="D4" s="220"/>
      <c r="E4" s="220"/>
      <c r="F4" s="220"/>
      <c r="G4" s="220"/>
      <c r="H4" s="220"/>
      <c r="I4" s="220"/>
      <c r="J4" s="220"/>
      <c r="K4" s="220"/>
      <c r="L4" s="220"/>
      <c r="M4" s="220"/>
      <c r="N4" s="220"/>
      <c r="O4" s="220"/>
    </row>
    <row r="5" spans="1:18">
      <c r="B5" s="234"/>
      <c r="C5" s="235" t="s">
        <v>106</v>
      </c>
      <c r="D5" s="235"/>
      <c r="E5" s="235"/>
      <c r="F5" s="235"/>
      <c r="G5" s="235"/>
      <c r="H5" s="235"/>
      <c r="I5" s="235"/>
      <c r="J5" s="235"/>
      <c r="K5" s="235"/>
      <c r="L5" s="235"/>
      <c r="M5" s="235"/>
      <c r="N5" s="235"/>
      <c r="O5" s="235"/>
    </row>
    <row r="6" spans="1:18">
      <c r="B6" s="209"/>
    </row>
    <row r="7" spans="1:18">
      <c r="B7" s="210" t="s">
        <v>151</v>
      </c>
      <c r="C7" s="206"/>
      <c r="D7" s="206"/>
      <c r="E7" s="206"/>
      <c r="F7" s="206"/>
      <c r="G7" s="206"/>
      <c r="H7" s="206"/>
      <c r="I7" s="206"/>
      <c r="J7" s="206"/>
      <c r="K7" s="206"/>
      <c r="L7" s="206"/>
      <c r="M7" s="206"/>
      <c r="N7" s="206"/>
      <c r="O7" s="206"/>
    </row>
    <row r="8" spans="1:18">
      <c r="B8" s="211" t="s">
        <v>103</v>
      </c>
      <c r="C8" s="212" t="s">
        <v>108</v>
      </c>
      <c r="D8" s="197"/>
      <c r="E8" s="197"/>
      <c r="F8" s="197"/>
      <c r="G8" s="197"/>
      <c r="H8" s="197"/>
      <c r="I8" s="197"/>
      <c r="J8" s="197"/>
      <c r="K8" s="197"/>
      <c r="L8" s="197"/>
      <c r="M8" s="197"/>
      <c r="N8" s="197"/>
      <c r="O8" s="197"/>
    </row>
    <row r="9" spans="1:18">
      <c r="B9" s="213" t="s">
        <v>104</v>
      </c>
      <c r="C9" s="214" t="s">
        <v>107</v>
      </c>
      <c r="D9" s="208"/>
      <c r="E9" s="208"/>
      <c r="F9" s="208"/>
      <c r="G9" s="208"/>
      <c r="H9" s="208"/>
      <c r="I9" s="208"/>
      <c r="J9" s="208"/>
      <c r="K9" s="208"/>
      <c r="L9" s="208"/>
      <c r="M9" s="208"/>
      <c r="N9" s="208"/>
      <c r="O9" s="208"/>
    </row>
    <row r="10" spans="1:18">
      <c r="A10" s="215"/>
      <c r="B10" s="218" t="s">
        <v>99</v>
      </c>
      <c r="C10" s="219" t="s">
        <v>109</v>
      </c>
      <c r="D10" s="220"/>
      <c r="E10" s="220"/>
      <c r="F10" s="220"/>
      <c r="G10" s="220"/>
      <c r="H10" s="220"/>
      <c r="I10" s="220"/>
      <c r="J10" s="220"/>
      <c r="K10" s="220"/>
      <c r="L10" s="220"/>
      <c r="M10" s="220"/>
      <c r="N10" s="220"/>
      <c r="O10" s="220"/>
      <c r="P10" s="215"/>
      <c r="Q10" s="215"/>
      <c r="R10" s="215"/>
    </row>
    <row r="11" spans="1:18">
      <c r="B11" s="216"/>
      <c r="C11" s="196" t="s">
        <v>110</v>
      </c>
      <c r="D11" s="217"/>
      <c r="E11" s="217"/>
      <c r="F11" s="217"/>
      <c r="G11" s="217"/>
      <c r="H11" s="217"/>
      <c r="I11" s="217"/>
      <c r="J11" s="217"/>
      <c r="K11" s="217"/>
      <c r="L11" s="217"/>
      <c r="M11" s="217"/>
      <c r="N11" s="217"/>
      <c r="O11" s="217"/>
    </row>
    <row r="12" spans="1:18">
      <c r="B12" s="213" t="s">
        <v>100</v>
      </c>
      <c r="C12" s="214" t="s">
        <v>112</v>
      </c>
      <c r="D12" s="208"/>
      <c r="E12" s="208"/>
      <c r="F12" s="208"/>
      <c r="G12" s="208"/>
      <c r="H12" s="208"/>
      <c r="I12" s="208"/>
      <c r="J12" s="208"/>
      <c r="K12" s="208"/>
      <c r="L12" s="208"/>
      <c r="M12" s="208"/>
      <c r="N12" s="208"/>
      <c r="O12" s="208"/>
    </row>
    <row r="13" spans="1:18">
      <c r="B13" s="218" t="s">
        <v>111</v>
      </c>
      <c r="C13" s="219" t="s">
        <v>113</v>
      </c>
      <c r="D13" s="220"/>
      <c r="E13" s="220"/>
      <c r="F13" s="220"/>
      <c r="G13" s="220"/>
      <c r="H13" s="220"/>
      <c r="I13" s="220"/>
      <c r="J13" s="220"/>
      <c r="K13" s="220"/>
      <c r="L13" s="220"/>
      <c r="M13" s="220"/>
      <c r="N13" s="220"/>
      <c r="O13" s="220"/>
    </row>
    <row r="14" spans="1:18">
      <c r="B14" s="238" t="s">
        <v>116</v>
      </c>
      <c r="C14" s="219"/>
      <c r="D14" s="220"/>
      <c r="E14" s="220"/>
      <c r="F14" s="220"/>
      <c r="G14" s="220"/>
      <c r="H14" s="220"/>
      <c r="I14" s="220"/>
      <c r="J14" s="220"/>
      <c r="K14" s="220"/>
      <c r="L14" s="220"/>
      <c r="M14" s="220"/>
      <c r="N14" s="220"/>
      <c r="O14" s="220"/>
    </row>
    <row r="15" spans="1:18">
      <c r="B15" s="218" t="s">
        <v>121</v>
      </c>
      <c r="C15" s="219" t="s">
        <v>122</v>
      </c>
      <c r="D15" s="220"/>
      <c r="E15" s="220"/>
      <c r="F15" s="220"/>
      <c r="G15" s="220"/>
      <c r="H15" s="220"/>
      <c r="I15" s="220"/>
      <c r="J15" s="220"/>
      <c r="K15" s="220"/>
      <c r="L15" s="220"/>
      <c r="M15" s="220"/>
      <c r="N15" s="220"/>
      <c r="O15" s="220"/>
    </row>
    <row r="16" spans="1:18">
      <c r="B16" s="240"/>
      <c r="C16" s="196" t="s">
        <v>123</v>
      </c>
      <c r="D16" s="217"/>
      <c r="E16" s="217"/>
      <c r="F16" s="217"/>
      <c r="G16" s="217"/>
      <c r="H16" s="217"/>
      <c r="I16" s="217"/>
      <c r="J16" s="217"/>
      <c r="K16" s="217"/>
      <c r="L16" s="217"/>
      <c r="M16" s="217"/>
      <c r="N16" s="217"/>
      <c r="O16" s="217"/>
    </row>
    <row r="17" spans="1:18">
      <c r="B17" s="218" t="s">
        <v>114</v>
      </c>
      <c r="C17" s="219" t="s">
        <v>124</v>
      </c>
      <c r="D17" s="220"/>
      <c r="E17" s="220"/>
      <c r="F17" s="220"/>
      <c r="G17" s="220"/>
      <c r="H17" s="220"/>
      <c r="I17" s="220"/>
      <c r="J17" s="220"/>
      <c r="K17" s="220"/>
      <c r="L17" s="220"/>
      <c r="M17" s="220"/>
      <c r="N17" s="220"/>
      <c r="O17" s="220"/>
    </row>
    <row r="18" spans="1:18">
      <c r="B18" s="218" t="s">
        <v>115</v>
      </c>
      <c r="C18" s="219" t="s">
        <v>125</v>
      </c>
      <c r="D18" s="220"/>
      <c r="E18" s="220"/>
      <c r="F18" s="220"/>
      <c r="G18" s="220"/>
      <c r="H18" s="220"/>
      <c r="I18" s="220"/>
      <c r="J18" s="220"/>
      <c r="K18" s="220"/>
      <c r="L18" s="220"/>
      <c r="M18" s="220"/>
      <c r="N18" s="220"/>
      <c r="O18" s="220"/>
    </row>
    <row r="19" spans="1:18" s="215" customFormat="1">
      <c r="B19" s="240"/>
      <c r="C19" s="196" t="s">
        <v>126</v>
      </c>
      <c r="D19" s="217"/>
      <c r="E19" s="217"/>
      <c r="F19" s="217"/>
      <c r="G19" s="217"/>
      <c r="H19" s="217"/>
      <c r="I19" s="217"/>
      <c r="J19" s="217"/>
      <c r="K19" s="217"/>
      <c r="L19" s="217"/>
      <c r="M19" s="217"/>
      <c r="N19" s="217"/>
      <c r="O19" s="217"/>
    </row>
    <row r="20" spans="1:18">
      <c r="A20" s="215"/>
      <c r="B20" s="221"/>
      <c r="C20" s="239" t="s">
        <v>118</v>
      </c>
      <c r="D20" s="215"/>
      <c r="E20" s="215"/>
      <c r="F20" s="215"/>
      <c r="G20" s="215"/>
      <c r="H20" s="215"/>
      <c r="I20" s="215"/>
      <c r="J20" s="215"/>
      <c r="K20" s="215"/>
      <c r="L20" s="215"/>
      <c r="M20" s="215"/>
      <c r="N20" s="215"/>
      <c r="O20" s="215"/>
      <c r="P20" s="215"/>
      <c r="Q20" s="215"/>
      <c r="R20" s="215"/>
    </row>
    <row r="21" spans="1:18">
      <c r="A21" s="215"/>
      <c r="B21" s="221"/>
      <c r="C21" s="239" t="s">
        <v>119</v>
      </c>
      <c r="D21" s="215"/>
      <c r="E21" s="215"/>
      <c r="F21" s="215"/>
      <c r="G21" s="215"/>
      <c r="H21" s="215"/>
      <c r="I21" s="215"/>
      <c r="J21" s="215"/>
      <c r="K21" s="215"/>
      <c r="L21" s="215"/>
      <c r="M21" s="215"/>
      <c r="N21" s="215"/>
      <c r="O21" s="215"/>
      <c r="P21" s="215"/>
      <c r="Q21" s="215"/>
      <c r="R21" s="215"/>
    </row>
    <row r="22" spans="1:18">
      <c r="A22" s="215"/>
      <c r="B22" s="221"/>
      <c r="C22" s="222" t="s">
        <v>117</v>
      </c>
      <c r="D22" s="215"/>
      <c r="E22" s="215"/>
      <c r="F22" s="215"/>
      <c r="G22" s="215"/>
      <c r="H22" s="215"/>
      <c r="I22" s="215"/>
      <c r="J22" s="215"/>
      <c r="K22" s="215"/>
      <c r="L22" s="215"/>
      <c r="M22" s="215"/>
      <c r="N22" s="215"/>
      <c r="O22" s="215"/>
      <c r="P22" s="215"/>
      <c r="Q22" s="215"/>
      <c r="R22" s="215"/>
    </row>
    <row r="23" spans="1:18">
      <c r="A23" s="215"/>
      <c r="B23" s="223"/>
      <c r="C23" s="220" t="s">
        <v>120</v>
      </c>
      <c r="D23" s="220"/>
      <c r="E23" s="220"/>
      <c r="F23" s="220"/>
      <c r="G23" s="220"/>
      <c r="H23" s="220"/>
      <c r="I23" s="220"/>
      <c r="J23" s="220"/>
      <c r="K23" s="220"/>
      <c r="L23" s="220"/>
      <c r="M23" s="220"/>
      <c r="N23" s="220"/>
      <c r="O23" s="220"/>
      <c r="P23" s="215"/>
      <c r="Q23" s="215"/>
      <c r="R23" s="215"/>
    </row>
    <row r="24" spans="1:18">
      <c r="B24" s="216"/>
      <c r="C24" s="217" t="s">
        <v>127</v>
      </c>
      <c r="D24" s="217"/>
      <c r="E24" s="217"/>
      <c r="F24" s="217"/>
      <c r="G24" s="217"/>
      <c r="H24" s="217"/>
      <c r="I24" s="217"/>
      <c r="J24" s="217"/>
      <c r="K24" s="217"/>
      <c r="L24" s="217"/>
      <c r="M24" s="217"/>
      <c r="N24" s="217"/>
      <c r="O24" s="217"/>
    </row>
    <row r="25" spans="1:18">
      <c r="B25" s="218" t="s">
        <v>128</v>
      </c>
      <c r="C25" s="219" t="s">
        <v>129</v>
      </c>
      <c r="D25" s="220"/>
      <c r="E25" s="220"/>
      <c r="F25" s="220"/>
      <c r="G25" s="220"/>
      <c r="H25" s="220"/>
      <c r="I25" s="220"/>
      <c r="J25" s="220"/>
      <c r="K25" s="220"/>
      <c r="L25" s="220"/>
      <c r="M25" s="220"/>
      <c r="N25" s="220"/>
      <c r="O25" s="220"/>
    </row>
    <row r="26" spans="1:18">
      <c r="A26" s="215"/>
      <c r="B26" s="221"/>
      <c r="C26" s="224" t="s">
        <v>130</v>
      </c>
      <c r="D26" s="215"/>
      <c r="E26" s="215"/>
      <c r="F26" s="215"/>
      <c r="G26" s="215"/>
      <c r="H26" s="215"/>
      <c r="I26" s="215"/>
      <c r="J26" s="215"/>
      <c r="K26" s="215"/>
      <c r="L26" s="215"/>
      <c r="M26" s="215"/>
      <c r="N26" s="215"/>
      <c r="O26" s="215"/>
      <c r="P26" s="215"/>
      <c r="Q26" s="215"/>
      <c r="R26" s="215"/>
    </row>
    <row r="27" spans="1:18">
      <c r="B27" s="221"/>
      <c r="C27" s="224" t="s">
        <v>165</v>
      </c>
      <c r="D27" s="215"/>
      <c r="E27" s="215"/>
      <c r="F27" s="215"/>
      <c r="G27" s="215"/>
      <c r="H27" s="215"/>
      <c r="I27" s="215"/>
      <c r="J27" s="215"/>
      <c r="K27" s="215"/>
      <c r="L27" s="215"/>
      <c r="M27" s="215"/>
      <c r="N27" s="215"/>
      <c r="O27" s="215"/>
    </row>
    <row r="28" spans="1:18" s="241" customFormat="1">
      <c r="B28" s="242"/>
      <c r="C28" s="241" t="s">
        <v>131</v>
      </c>
    </row>
    <row r="29" spans="1:18">
      <c r="B29" s="223" t="s">
        <v>132</v>
      </c>
      <c r="C29" s="220" t="s">
        <v>136</v>
      </c>
      <c r="D29" s="220"/>
      <c r="E29" s="220"/>
      <c r="F29" s="220"/>
      <c r="G29" s="220"/>
      <c r="H29" s="220"/>
      <c r="I29" s="220"/>
      <c r="J29" s="220"/>
      <c r="K29" s="220"/>
      <c r="L29" s="220"/>
      <c r="M29" s="220"/>
      <c r="N29" s="220"/>
      <c r="O29" s="220"/>
    </row>
    <row r="30" spans="1:18">
      <c r="A30" s="215"/>
      <c r="B30" s="216"/>
      <c r="C30" s="225" t="s">
        <v>137</v>
      </c>
      <c r="D30" s="217"/>
      <c r="E30" s="217"/>
      <c r="F30" s="217"/>
      <c r="G30" s="217"/>
      <c r="H30" s="217"/>
      <c r="I30" s="217"/>
      <c r="J30" s="217"/>
      <c r="K30" s="217"/>
      <c r="L30" s="217"/>
      <c r="M30" s="217"/>
      <c r="N30" s="217"/>
      <c r="O30" s="217"/>
      <c r="P30" s="215"/>
      <c r="Q30" s="215"/>
      <c r="R30" s="215"/>
    </row>
    <row r="31" spans="1:18">
      <c r="A31" s="215"/>
      <c r="B31" s="221" t="s">
        <v>141</v>
      </c>
      <c r="C31" s="215" t="s">
        <v>139</v>
      </c>
      <c r="D31" s="215"/>
      <c r="E31" s="215"/>
      <c r="F31" s="215"/>
      <c r="G31" s="215"/>
      <c r="H31" s="215"/>
      <c r="I31" s="215"/>
      <c r="J31" s="215"/>
      <c r="K31" s="215"/>
      <c r="L31" s="215"/>
      <c r="M31" s="215"/>
      <c r="N31" s="215"/>
      <c r="O31" s="215"/>
      <c r="P31" s="215"/>
      <c r="Q31" s="215"/>
      <c r="R31" s="215"/>
    </row>
    <row r="32" spans="1:18">
      <c r="B32" s="216" t="s">
        <v>142</v>
      </c>
      <c r="C32" s="247" t="s">
        <v>140</v>
      </c>
      <c r="D32" s="217"/>
      <c r="E32" s="217"/>
      <c r="F32" s="217"/>
      <c r="G32" s="217"/>
      <c r="H32" s="217"/>
      <c r="I32" s="217"/>
      <c r="J32" s="217"/>
      <c r="K32" s="217"/>
      <c r="L32" s="217"/>
      <c r="M32" s="217"/>
      <c r="N32" s="217"/>
      <c r="O32" s="217"/>
    </row>
    <row r="33" spans="1:18">
      <c r="B33" s="218" t="s">
        <v>245</v>
      </c>
      <c r="C33" s="219" t="s">
        <v>246</v>
      </c>
      <c r="D33" s="220"/>
      <c r="E33" s="220"/>
      <c r="F33" s="220"/>
      <c r="G33" s="220"/>
      <c r="H33" s="220"/>
      <c r="I33" s="220"/>
      <c r="J33" s="220"/>
      <c r="K33" s="220"/>
      <c r="L33" s="220"/>
      <c r="M33" s="220"/>
      <c r="N33" s="220"/>
      <c r="O33" s="220"/>
    </row>
    <row r="34" spans="1:18">
      <c r="B34" s="240"/>
      <c r="C34" s="196" t="s">
        <v>247</v>
      </c>
      <c r="D34" s="217"/>
      <c r="E34" s="217"/>
      <c r="F34" s="217"/>
      <c r="G34" s="217"/>
      <c r="H34" s="217"/>
      <c r="I34" s="217"/>
      <c r="J34" s="217"/>
      <c r="K34" s="217"/>
      <c r="L34" s="217"/>
      <c r="M34" s="217"/>
      <c r="N34" s="217"/>
      <c r="O34" s="217"/>
    </row>
    <row r="35" spans="1:18">
      <c r="B35" s="209"/>
    </row>
    <row r="36" spans="1:18">
      <c r="A36" s="226"/>
      <c r="B36" s="210" t="s">
        <v>150</v>
      </c>
      <c r="C36" s="227"/>
      <c r="D36" s="227"/>
      <c r="E36" s="227"/>
      <c r="F36" s="227"/>
      <c r="G36" s="227"/>
      <c r="H36" s="227"/>
      <c r="I36" s="227"/>
      <c r="J36" s="227"/>
      <c r="K36" s="227"/>
      <c r="L36" s="227"/>
      <c r="M36" s="227"/>
      <c r="N36" s="227"/>
      <c r="O36" s="227"/>
      <c r="P36" s="226"/>
      <c r="Q36" s="226"/>
      <c r="R36" s="226"/>
    </row>
    <row r="37" spans="1:18">
      <c r="B37" s="262" t="s">
        <v>146</v>
      </c>
      <c r="C37" s="263" t="s">
        <v>147</v>
      </c>
      <c r="D37" s="264"/>
      <c r="E37" s="264"/>
      <c r="F37" s="264"/>
      <c r="G37" s="264"/>
      <c r="H37" s="264"/>
      <c r="I37" s="264"/>
      <c r="J37" s="264"/>
      <c r="K37" s="264"/>
      <c r="L37" s="264"/>
      <c r="M37" s="264"/>
      <c r="N37" s="264"/>
      <c r="O37" s="264"/>
    </row>
    <row r="38" spans="1:18" s="215" customFormat="1">
      <c r="B38" s="237"/>
      <c r="C38" s="241" t="s">
        <v>148</v>
      </c>
    </row>
    <row r="39" spans="1:18">
      <c r="B39" s="213" t="s">
        <v>149</v>
      </c>
      <c r="C39" s="214" t="s">
        <v>156</v>
      </c>
      <c r="D39" s="208"/>
      <c r="E39" s="208"/>
      <c r="F39" s="208"/>
      <c r="G39" s="208"/>
      <c r="H39" s="208"/>
      <c r="I39" s="208"/>
      <c r="J39" s="208"/>
      <c r="K39" s="208"/>
      <c r="L39" s="208"/>
      <c r="M39" s="208"/>
      <c r="N39" s="208"/>
      <c r="O39" s="208"/>
    </row>
    <row r="40" spans="1:18">
      <c r="B40" s="213" t="s">
        <v>152</v>
      </c>
      <c r="C40" s="214" t="s">
        <v>157</v>
      </c>
      <c r="D40" s="208"/>
      <c r="E40" s="208"/>
      <c r="F40" s="208"/>
      <c r="G40" s="208"/>
      <c r="H40" s="208"/>
      <c r="I40" s="208"/>
      <c r="J40" s="208"/>
      <c r="K40" s="208"/>
      <c r="L40" s="208"/>
      <c r="M40" s="208"/>
      <c r="N40" s="208"/>
      <c r="O40" s="208"/>
    </row>
    <row r="41" spans="1:18">
      <c r="B41" s="213" t="s">
        <v>153</v>
      </c>
      <c r="C41" s="214" t="s">
        <v>158</v>
      </c>
      <c r="D41" s="208"/>
      <c r="E41" s="208"/>
      <c r="F41" s="208"/>
      <c r="G41" s="208"/>
      <c r="H41" s="208"/>
      <c r="I41" s="208"/>
      <c r="J41" s="208"/>
      <c r="K41" s="208"/>
      <c r="L41" s="208"/>
      <c r="M41" s="208"/>
      <c r="N41" s="208"/>
      <c r="O41" s="208"/>
    </row>
    <row r="42" spans="1:18">
      <c r="B42" s="213" t="s">
        <v>154</v>
      </c>
      <c r="C42" s="214" t="s">
        <v>159</v>
      </c>
      <c r="D42" s="208"/>
      <c r="E42" s="208"/>
      <c r="F42" s="208"/>
      <c r="G42" s="208"/>
      <c r="H42" s="208"/>
      <c r="I42" s="208"/>
      <c r="J42" s="208"/>
      <c r="K42" s="208"/>
      <c r="L42" s="208"/>
      <c r="M42" s="208"/>
      <c r="N42" s="208"/>
      <c r="O42" s="208"/>
    </row>
    <row r="43" spans="1:18">
      <c r="B43" s="213" t="s">
        <v>155</v>
      </c>
      <c r="C43" s="214" t="s">
        <v>223</v>
      </c>
      <c r="D43" s="208"/>
      <c r="E43" s="208"/>
      <c r="F43" s="208"/>
      <c r="G43" s="208"/>
      <c r="H43" s="208"/>
      <c r="I43" s="208"/>
      <c r="J43" s="208"/>
      <c r="K43" s="208"/>
      <c r="L43" s="208"/>
      <c r="M43" s="208"/>
      <c r="N43" s="208"/>
      <c r="O43" s="208"/>
    </row>
    <row r="44" spans="1:18">
      <c r="B44" s="213" t="s">
        <v>221</v>
      </c>
      <c r="C44" s="214" t="s">
        <v>222</v>
      </c>
      <c r="D44" s="208"/>
      <c r="E44" s="208"/>
      <c r="F44" s="208"/>
      <c r="G44" s="208"/>
      <c r="H44" s="208"/>
      <c r="I44" s="208"/>
      <c r="J44" s="208"/>
      <c r="K44" s="208"/>
      <c r="L44" s="208"/>
      <c r="M44" s="208"/>
      <c r="N44" s="208"/>
      <c r="O44" s="208"/>
    </row>
    <row r="45" spans="1:18">
      <c r="B45" s="265" t="s">
        <v>160</v>
      </c>
      <c r="C45" s="266" t="s">
        <v>225</v>
      </c>
      <c r="D45" s="208"/>
      <c r="E45" s="208"/>
      <c r="F45" s="208"/>
      <c r="G45" s="208"/>
      <c r="H45" s="208"/>
      <c r="I45" s="208"/>
      <c r="J45" s="208"/>
      <c r="K45" s="208"/>
      <c r="L45" s="208"/>
      <c r="M45" s="208"/>
      <c r="N45" s="208"/>
      <c r="O45" s="208"/>
    </row>
    <row r="46" spans="1:18">
      <c r="B46" s="265" t="s">
        <v>163</v>
      </c>
      <c r="C46" s="266" t="s">
        <v>162</v>
      </c>
      <c r="D46" s="208"/>
      <c r="E46" s="208"/>
      <c r="F46" s="208"/>
      <c r="G46" s="208"/>
      <c r="H46" s="208"/>
      <c r="I46" s="208"/>
      <c r="J46" s="208"/>
      <c r="K46" s="208"/>
      <c r="L46" s="208"/>
      <c r="M46" s="208"/>
      <c r="N46" s="208"/>
      <c r="O46" s="208"/>
    </row>
    <row r="47" spans="1:18">
      <c r="B47" s="213" t="s">
        <v>224</v>
      </c>
      <c r="C47" s="214" t="s">
        <v>164</v>
      </c>
      <c r="D47" s="208"/>
      <c r="E47" s="208"/>
      <c r="F47" s="208"/>
      <c r="G47" s="208"/>
      <c r="H47" s="208"/>
      <c r="I47" s="208"/>
      <c r="J47" s="208"/>
      <c r="K47" s="208"/>
      <c r="L47" s="208"/>
      <c r="M47" s="208"/>
      <c r="N47" s="208"/>
      <c r="O47" s="208"/>
    </row>
    <row r="48" spans="1:18">
      <c r="B48" s="213" t="s">
        <v>226</v>
      </c>
      <c r="C48" s="214" t="s">
        <v>227</v>
      </c>
      <c r="D48" s="208"/>
      <c r="E48" s="208"/>
      <c r="F48" s="208"/>
      <c r="G48" s="208"/>
      <c r="H48" s="208"/>
      <c r="I48" s="208"/>
      <c r="J48" s="208"/>
      <c r="K48" s="208"/>
      <c r="L48" s="208"/>
      <c r="M48" s="208"/>
      <c r="N48" s="208"/>
      <c r="O48" s="208"/>
    </row>
    <row r="49" spans="1:18">
      <c r="B49" s="218" t="s">
        <v>250</v>
      </c>
      <c r="C49" s="219" t="s">
        <v>248</v>
      </c>
      <c r="D49" s="220"/>
      <c r="E49" s="220"/>
      <c r="F49" s="220"/>
      <c r="G49" s="220"/>
      <c r="H49" s="220"/>
      <c r="I49" s="220"/>
      <c r="J49" s="220"/>
      <c r="K49" s="220"/>
      <c r="L49" s="220"/>
      <c r="M49" s="220"/>
      <c r="N49" s="220"/>
      <c r="O49" s="220"/>
    </row>
    <row r="50" spans="1:18">
      <c r="B50" s="240"/>
      <c r="C50" s="196" t="s">
        <v>249</v>
      </c>
      <c r="D50" s="217"/>
      <c r="E50" s="217"/>
      <c r="F50" s="217"/>
      <c r="G50" s="217"/>
      <c r="H50" s="217"/>
      <c r="I50" s="217"/>
      <c r="J50" s="217"/>
      <c r="K50" s="217"/>
      <c r="L50" s="217"/>
      <c r="M50" s="217"/>
      <c r="N50" s="217"/>
      <c r="O50" s="217"/>
    </row>
    <row r="52" spans="1:18">
      <c r="A52" s="226"/>
      <c r="B52" s="228" t="s">
        <v>101</v>
      </c>
      <c r="C52" s="229"/>
      <c r="D52" s="229"/>
      <c r="E52" s="229"/>
      <c r="F52" s="229"/>
      <c r="G52" s="229"/>
      <c r="H52" s="229"/>
      <c r="I52" s="229"/>
      <c r="J52" s="229"/>
      <c r="K52" s="229"/>
      <c r="L52" s="229"/>
      <c r="M52" s="229"/>
      <c r="N52" s="229"/>
      <c r="O52" s="229"/>
      <c r="P52" s="226"/>
      <c r="Q52" s="226"/>
      <c r="R52" s="226"/>
    </row>
  </sheetData>
  <sheetProtection password="9F29" sheet="1" objects="1" scenarios="1"/>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sheetPr published="0">
    <pageSetUpPr fitToPage="1"/>
  </sheetPr>
  <dimension ref="B2:AD158"/>
  <sheetViews>
    <sheetView showGridLines="0" tabSelected="1" workbookViewId="0">
      <selection activeCell="D5" sqref="D5"/>
    </sheetView>
  </sheetViews>
  <sheetFormatPr defaultColWidth="9.08984375" defaultRowHeight="14.5"/>
  <cols>
    <col min="1" max="1" width="6.6328125" style="3" customWidth="1"/>
    <col min="2" max="2" width="24.6328125" style="3" customWidth="1"/>
    <col min="3" max="3" width="12.6328125" style="3" customWidth="1"/>
    <col min="4" max="4" width="10.6328125" style="3" customWidth="1"/>
    <col min="5" max="7" width="13.6328125" style="3" customWidth="1"/>
    <col min="8" max="10" width="13.6328125" style="4" customWidth="1"/>
    <col min="11" max="11" width="9.08984375" style="4"/>
    <col min="12" max="12" width="14.6328125" style="5" customWidth="1"/>
    <col min="13" max="13" width="12.6328125" style="4" customWidth="1"/>
    <col min="14" max="16" width="9.08984375" style="348"/>
    <col min="17" max="21" width="11" style="348" customWidth="1"/>
    <col min="22" max="22" width="9.08984375" style="348"/>
    <col min="23" max="16384" width="9.08984375" style="3"/>
  </cols>
  <sheetData>
    <row r="2" spans="2:23" ht="17.25" customHeight="1" thickBot="1">
      <c r="B2" s="77" t="s">
        <v>89</v>
      </c>
      <c r="C2" s="6"/>
      <c r="D2" s="6"/>
      <c r="E2" s="6"/>
      <c r="F2" s="6"/>
      <c r="G2" s="6"/>
      <c r="H2" s="6"/>
      <c r="I2" s="186"/>
      <c r="J2" s="321" t="str">
        <f>"Version:  "&amp;MONTH(C101)&amp;"."&amp;DAY(C101)&amp;"."&amp;YEAR(C101)-2000</f>
        <v>Version:  3.25.20</v>
      </c>
      <c r="L2" s="7"/>
      <c r="N2" s="347" t="str">
        <f>IF(O2="Elanco","None","Box")</f>
        <v>Box</v>
      </c>
      <c r="O2" s="395" t="s">
        <v>251</v>
      </c>
      <c r="P2" s="384"/>
      <c r="Q2" s="384"/>
      <c r="R2" s="384"/>
      <c r="S2" s="384"/>
      <c r="T2" s="384"/>
      <c r="U2" s="384"/>
      <c r="V2" s="385"/>
    </row>
    <row r="3" spans="2:23" ht="17.25" customHeight="1">
      <c r="B3" s="75" t="s">
        <v>60</v>
      </c>
      <c r="C3" s="73"/>
      <c r="D3" s="73"/>
      <c r="E3" s="73"/>
      <c r="F3" s="73"/>
      <c r="G3" s="73"/>
      <c r="H3" s="73"/>
      <c r="I3" s="73"/>
      <c r="J3" s="73"/>
      <c r="L3" s="7"/>
      <c r="N3" s="347"/>
      <c r="O3" s="350" t="str">
        <f>"Net Feed Savings, $/hd/yr  -- Rumensin = "&amp;FIXED(F19,0)&amp;" mg/hd/d"</f>
        <v>Net Feed Savings, $/hd/yr  -- Rumensin = 200 mg/hd/d</v>
      </c>
      <c r="P3" s="386"/>
      <c r="Q3" s="386"/>
      <c r="R3" s="386"/>
      <c r="S3" s="386"/>
      <c r="T3" s="386"/>
      <c r="U3" s="386"/>
      <c r="V3" s="385"/>
    </row>
    <row r="4" spans="2:23" s="47" customFormat="1" ht="15.9" customHeight="1">
      <c r="B4" s="78" t="s">
        <v>61</v>
      </c>
      <c r="C4" s="79"/>
      <c r="D4" s="187">
        <v>220</v>
      </c>
      <c r="G4" s="158"/>
      <c r="H4" s="48"/>
      <c r="I4" s="48"/>
      <c r="J4" s="48"/>
      <c r="K4" s="49"/>
      <c r="L4" s="50"/>
      <c r="M4" s="49"/>
      <c r="N4" s="387"/>
      <c r="O4" s="353"/>
      <c r="P4" s="353"/>
      <c r="Q4" s="355" t="s">
        <v>231</v>
      </c>
      <c r="R4" s="355"/>
      <c r="S4" s="355"/>
      <c r="T4" s="355"/>
      <c r="U4" s="355"/>
      <c r="V4" s="356"/>
    </row>
    <row r="5" spans="2:23" s="47" customFormat="1" ht="15.9" customHeight="1">
      <c r="B5" s="188" t="s">
        <v>62</v>
      </c>
      <c r="C5" s="189"/>
      <c r="D5" s="190">
        <v>100</v>
      </c>
      <c r="E5" s="74"/>
      <c r="F5" s="73"/>
      <c r="G5" s="159"/>
      <c r="H5" s="48"/>
      <c r="I5" s="48"/>
      <c r="J5" s="48"/>
      <c r="K5" s="49"/>
      <c r="L5" s="50"/>
      <c r="M5" s="49"/>
      <c r="N5" s="387"/>
      <c r="O5" s="353"/>
      <c r="P5" s="357">
        <f>F23</f>
        <v>19.680000000000007</v>
      </c>
      <c r="Q5" s="358">
        <f>R5-$U21</f>
        <v>0.89999999999999991</v>
      </c>
      <c r="R5" s="358">
        <f>S5-$U21</f>
        <v>0.92499999999999993</v>
      </c>
      <c r="S5" s="358">
        <f>T5-$U21</f>
        <v>0.95</v>
      </c>
      <c r="T5" s="358">
        <f>U5-$U21</f>
        <v>0.97499999999999998</v>
      </c>
      <c r="U5" s="358">
        <v>1</v>
      </c>
      <c r="V5" s="356"/>
    </row>
    <row r="6" spans="2:23" s="47" customFormat="1" ht="15.9" customHeight="1">
      <c r="B6" s="80" t="s">
        <v>63</v>
      </c>
      <c r="C6" s="81"/>
      <c r="D6" s="187">
        <v>200</v>
      </c>
      <c r="E6" s="74"/>
      <c r="F6" s="73"/>
      <c r="G6" s="159"/>
      <c r="H6" s="48"/>
      <c r="I6" s="48"/>
      <c r="J6" s="48"/>
      <c r="K6" s="49"/>
      <c r="L6" s="50"/>
      <c r="M6" s="49"/>
      <c r="N6" s="387"/>
      <c r="O6" s="396" t="s">
        <v>232</v>
      </c>
      <c r="P6" s="359">
        <f>P7-U$16</f>
        <v>0.79999999999999982</v>
      </c>
      <c r="Q6" s="360">
        <f t="dataTable" ref="Q6:U10" dt2D="1" dtr="1" r1="B143" r2="B144"/>
        <v>18.011999999999972</v>
      </c>
      <c r="R6" s="361">
        <v>18.578999999999979</v>
      </c>
      <c r="S6" s="361">
        <v>19.146000000000043</v>
      </c>
      <c r="T6" s="361">
        <v>19.713000000000022</v>
      </c>
      <c r="U6" s="362">
        <v>20.28</v>
      </c>
      <c r="V6" s="356"/>
    </row>
    <row r="7" spans="2:23" ht="15.9" customHeight="1">
      <c r="B7" s="74"/>
      <c r="C7" s="91"/>
      <c r="D7" s="233"/>
      <c r="G7" s="8"/>
      <c r="H7" s="9"/>
      <c r="I7" s="9"/>
      <c r="J7" s="9"/>
      <c r="L7" s="7"/>
      <c r="N7" s="347"/>
      <c r="O7" s="397"/>
      <c r="P7" s="359">
        <f>P8-U$16</f>
        <v>0.84999999999999987</v>
      </c>
      <c r="Q7" s="364">
        <v>17.861999999999938</v>
      </c>
      <c r="R7" s="365">
        <v>18.428999999999974</v>
      </c>
      <c r="S7" s="365">
        <v>18.996000000000009</v>
      </c>
      <c r="T7" s="365">
        <v>19.562999999999988</v>
      </c>
      <c r="U7" s="366">
        <v>20.129999999999995</v>
      </c>
    </row>
    <row r="8" spans="2:23" ht="15.9" customHeight="1">
      <c r="B8" s="230" t="s">
        <v>40</v>
      </c>
      <c r="C8" s="19"/>
      <c r="D8" s="231">
        <v>100</v>
      </c>
      <c r="F8" s="9"/>
      <c r="G8" s="8"/>
      <c r="H8" s="9"/>
      <c r="I8" s="9"/>
      <c r="J8" s="9"/>
      <c r="L8" s="7"/>
      <c r="N8" s="347"/>
      <c r="O8" s="397"/>
      <c r="P8" s="359">
        <f>P9-U$16</f>
        <v>0.89999999999999991</v>
      </c>
      <c r="Q8" s="364">
        <v>17.711999999999961</v>
      </c>
      <c r="R8" s="365">
        <v>18.278999999999968</v>
      </c>
      <c r="S8" s="365">
        <v>18.846000000000032</v>
      </c>
      <c r="T8" s="365">
        <v>19.413000000000011</v>
      </c>
      <c r="U8" s="366">
        <v>19.97999999999999</v>
      </c>
    </row>
    <row r="9" spans="2:23" ht="15.9" customHeight="1">
      <c r="B9" s="8" t="s">
        <v>41</v>
      </c>
      <c r="C9" s="8"/>
      <c r="D9" s="232">
        <v>150</v>
      </c>
      <c r="E9" s="160"/>
      <c r="F9" s="9"/>
      <c r="G9" s="8"/>
      <c r="H9" s="9"/>
      <c r="I9" s="9"/>
      <c r="J9" s="9"/>
      <c r="L9" s="7"/>
      <c r="N9" s="347"/>
      <c r="O9" s="397"/>
      <c r="P9" s="359">
        <f>P10-U$16</f>
        <v>0.95</v>
      </c>
      <c r="Q9" s="364">
        <v>17.561999999999955</v>
      </c>
      <c r="R9" s="365">
        <v>18.128999999999962</v>
      </c>
      <c r="S9" s="365">
        <v>18.696000000000026</v>
      </c>
      <c r="T9" s="365">
        <v>19.263000000000005</v>
      </c>
      <c r="U9" s="366">
        <v>19.829999999999984</v>
      </c>
    </row>
    <row r="10" spans="2:23" ht="15.9" customHeight="1">
      <c r="B10" s="10"/>
      <c r="C10" s="10"/>
      <c r="D10" s="10"/>
      <c r="E10" s="11" t="s">
        <v>49</v>
      </c>
      <c r="F10" s="12"/>
      <c r="G10" s="54" t="s">
        <v>3</v>
      </c>
      <c r="H10" s="13" t="s">
        <v>50</v>
      </c>
      <c r="I10" s="11"/>
      <c r="J10" s="76" t="s">
        <v>3</v>
      </c>
      <c r="L10" s="14" t="s">
        <v>94</v>
      </c>
      <c r="M10" s="200" t="s">
        <v>97</v>
      </c>
      <c r="N10" s="347"/>
      <c r="O10" s="398"/>
      <c r="P10" s="367">
        <v>1</v>
      </c>
      <c r="Q10" s="368">
        <v>17.411999999999949</v>
      </c>
      <c r="R10" s="369">
        <v>17.978999999999985</v>
      </c>
      <c r="S10" s="369">
        <v>18.546000000000021</v>
      </c>
      <c r="T10" s="369">
        <v>19.113</v>
      </c>
      <c r="U10" s="370">
        <v>19.680000000000007</v>
      </c>
    </row>
    <row r="11" spans="2:23" ht="15.9" customHeight="1">
      <c r="B11" s="15"/>
      <c r="C11" s="15"/>
      <c r="D11" s="16"/>
      <c r="E11" s="16" t="s">
        <v>42</v>
      </c>
      <c r="F11" s="16" t="s">
        <v>24</v>
      </c>
      <c r="G11" s="55" t="s">
        <v>143</v>
      </c>
      <c r="H11" s="17" t="s">
        <v>42</v>
      </c>
      <c r="I11" s="18" t="s">
        <v>24</v>
      </c>
      <c r="J11" s="161" t="s">
        <v>144</v>
      </c>
      <c r="L11" s="16" t="s">
        <v>95</v>
      </c>
      <c r="M11" s="18" t="s">
        <v>96</v>
      </c>
      <c r="N11" s="347"/>
      <c r="O11" s="353"/>
      <c r="P11" s="363"/>
      <c r="Q11" s="388"/>
      <c r="R11" s="388"/>
      <c r="S11" s="388"/>
      <c r="T11" s="388"/>
      <c r="U11" s="388"/>
    </row>
    <row r="12" spans="2:23" ht="15.9" customHeight="1">
      <c r="B12" s="19" t="s">
        <v>36</v>
      </c>
      <c r="C12" s="19"/>
      <c r="D12" s="20" t="s">
        <v>38</v>
      </c>
      <c r="E12" s="411" t="s">
        <v>64</v>
      </c>
      <c r="F12" s="412"/>
      <c r="G12" s="413"/>
      <c r="H12" s="414" t="s">
        <v>51</v>
      </c>
      <c r="I12" s="412"/>
      <c r="J12" s="412"/>
      <c r="L12" s="198"/>
      <c r="N12" s="347"/>
      <c r="O12" s="353"/>
      <c r="P12" s="353" t="str">
        <f>"Each "&amp;FIXED((P10-P9)*100,1)&amp;"% discount in price = $"&amp;FIXED(U9-U10,2)&amp;"/hd/yr"</f>
        <v>Each 5.0% discount in price = $0.15/hd/yr</v>
      </c>
      <c r="Q12" s="388"/>
      <c r="R12" s="388"/>
      <c r="S12" s="388"/>
      <c r="T12" s="388"/>
      <c r="U12" s="388"/>
    </row>
    <row r="13" spans="2:23" ht="15.9" customHeight="1">
      <c r="B13" s="191" t="s">
        <v>65</v>
      </c>
      <c r="C13" s="192"/>
      <c r="D13" s="193">
        <v>90</v>
      </c>
      <c r="E13" s="194">
        <v>30</v>
      </c>
      <c r="F13" s="22">
        <f>IFERROR(E13*(1-F$20*L13),"n/a")</f>
        <v>26.76</v>
      </c>
      <c r="G13" s="56">
        <f>IFERROR(F13-E13,"n/a")</f>
        <v>-3.2399999999999984</v>
      </c>
      <c r="H13" s="23">
        <f t="shared" ref="H13:I18" si="0">E13*$D$9*$D$8/2000</f>
        <v>225</v>
      </c>
      <c r="I13" s="22">
        <f>IFERROR(F13*$D$9*$D$8/2000,"n/a")</f>
        <v>200.70000000000002</v>
      </c>
      <c r="J13" s="53">
        <f>IFERROR(I13-H13,"n/a")</f>
        <v>-24.299999999999983</v>
      </c>
      <c r="L13" s="199">
        <v>1</v>
      </c>
      <c r="M13" s="201">
        <f>IFERROR(F$20*L13,0)</f>
        <v>0.10799999999999997</v>
      </c>
      <c r="N13" s="347"/>
      <c r="O13" s="389"/>
      <c r="P13" s="389" t="s">
        <v>237</v>
      </c>
      <c r="Q13" s="389"/>
      <c r="R13" s="389"/>
      <c r="S13" s="389"/>
      <c r="T13" s="389"/>
      <c r="U13" s="389"/>
    </row>
    <row r="14" spans="2:23" ht="15.9" customHeight="1">
      <c r="B14" s="191" t="s">
        <v>66</v>
      </c>
      <c r="C14" s="192"/>
      <c r="D14" s="193">
        <f>3.5/56*2000</f>
        <v>125</v>
      </c>
      <c r="E14" s="194">
        <f>2*60/150</f>
        <v>0.8</v>
      </c>
      <c r="F14" s="22">
        <f>IFERROR(E14*(1-F$20*L14),"n/a")</f>
        <v>0.71360000000000001</v>
      </c>
      <c r="G14" s="56">
        <f>IFERROR(F14-E14,"n/a")</f>
        <v>-8.6400000000000032E-2</v>
      </c>
      <c r="H14" s="23">
        <f t="shared" si="0"/>
        <v>6</v>
      </c>
      <c r="I14" s="22">
        <f>IFERROR(F14*$D$9*$D$8/2000,"n/a")</f>
        <v>5.3520000000000003</v>
      </c>
      <c r="J14" s="53">
        <f>IFERROR(I14-H14,"n/a")</f>
        <v>-0.64799999999999969</v>
      </c>
      <c r="L14" s="199">
        <f>L13</f>
        <v>1</v>
      </c>
      <c r="M14" s="201">
        <f t="shared" ref="M14:M16" si="1">IFERROR(F$20*L14,0)</f>
        <v>0.10799999999999997</v>
      </c>
      <c r="N14" s="347"/>
      <c r="O14" s="353"/>
      <c r="P14" s="353" t="str">
        <f>"Rumensin = "&amp;FIXED(F19,0)&amp;" mg/hd/d"</f>
        <v>Rumensin = 200 mg/hd/d</v>
      </c>
      <c r="Q14" s="353"/>
      <c r="R14" s="353"/>
      <c r="S14" s="353"/>
      <c r="T14" s="353"/>
      <c r="U14" s="353"/>
      <c r="V14" s="353"/>
    </row>
    <row r="15" spans="2:23" ht="15.9" customHeight="1">
      <c r="B15" s="191" t="s">
        <v>59</v>
      </c>
      <c r="C15" s="192"/>
      <c r="D15" s="193">
        <v>0</v>
      </c>
      <c r="E15" s="194">
        <v>0</v>
      </c>
      <c r="F15" s="22">
        <f>IFERROR(E15*(1-F$20*L15),"n/a")</f>
        <v>0</v>
      </c>
      <c r="G15" s="56">
        <f>IFERROR(F15-E15,"n/a")</f>
        <v>0</v>
      </c>
      <c r="H15" s="23">
        <f t="shared" si="0"/>
        <v>0</v>
      </c>
      <c r="I15" s="22">
        <f>IFERROR(F15*$D$9*$D$8/2000,"n/a")</f>
        <v>0</v>
      </c>
      <c r="J15" s="53">
        <f>IFERROR(I15-H15,"n/a")</f>
        <v>0</v>
      </c>
      <c r="L15" s="199">
        <f>L14</f>
        <v>1</v>
      </c>
      <c r="M15" s="201">
        <f t="shared" si="1"/>
        <v>0.10799999999999997</v>
      </c>
      <c r="N15" s="347"/>
      <c r="O15" s="353"/>
      <c r="P15" s="353"/>
      <c r="Q15" s="353"/>
      <c r="R15" s="353"/>
      <c r="S15" s="353"/>
      <c r="T15" s="353"/>
      <c r="U15" s="353"/>
      <c r="V15" s="353"/>
      <c r="W15" s="47"/>
    </row>
    <row r="16" spans="2:23" ht="15.9" customHeight="1">
      <c r="B16" s="191" t="s">
        <v>37</v>
      </c>
      <c r="C16" s="192"/>
      <c r="D16" s="193">
        <v>0</v>
      </c>
      <c r="E16" s="194">
        <v>0</v>
      </c>
      <c r="F16" s="22">
        <f>IFERROR(E16*(1-F$20*L16),"n/a")</f>
        <v>0</v>
      </c>
      <c r="G16" s="56">
        <f>IFERROR(F16-E16,"n/a")</f>
        <v>0</v>
      </c>
      <c r="H16" s="23">
        <f t="shared" si="0"/>
        <v>0</v>
      </c>
      <c r="I16" s="22">
        <f>IFERROR(F16*$D$9*$D$8/2000,"n/a")</f>
        <v>0</v>
      </c>
      <c r="J16" s="53">
        <f>IFERROR(I16-H16,"n/a")</f>
        <v>0</v>
      </c>
      <c r="L16" s="199">
        <f>L15</f>
        <v>1</v>
      </c>
      <c r="M16" s="201">
        <f t="shared" si="1"/>
        <v>0.10799999999999997</v>
      </c>
      <c r="N16" s="347"/>
      <c r="O16" s="389"/>
      <c r="P16" s="353" t="s">
        <v>234</v>
      </c>
      <c r="Q16" s="363"/>
      <c r="R16" s="363"/>
      <c r="S16" s="353"/>
      <c r="T16" s="363"/>
      <c r="U16" s="379">
        <v>0.05</v>
      </c>
      <c r="V16" s="353"/>
      <c r="W16" s="47"/>
    </row>
    <row r="17" spans="2:30" ht="15.9" customHeight="1">
      <c r="B17" s="248" t="s">
        <v>55</v>
      </c>
      <c r="C17" s="249"/>
      <c r="D17" s="193">
        <v>450</v>
      </c>
      <c r="E17" s="194">
        <v>0.25</v>
      </c>
      <c r="F17" s="24">
        <f>E17</f>
        <v>0.25</v>
      </c>
      <c r="G17" s="57">
        <f t="shared" ref="G17:G18" si="2">F17-E17</f>
        <v>0</v>
      </c>
      <c r="H17" s="23">
        <f t="shared" si="0"/>
        <v>1.875</v>
      </c>
      <c r="I17" s="22">
        <f t="shared" si="0"/>
        <v>1.875</v>
      </c>
      <c r="J17" s="53">
        <f t="shared" ref="J17:J18" si="3">I17-H17</f>
        <v>0</v>
      </c>
      <c r="N17" s="347"/>
      <c r="O17" s="353"/>
      <c r="P17" s="353"/>
      <c r="Q17" s="363"/>
      <c r="R17" s="363"/>
      <c r="S17" s="363"/>
      <c r="T17" s="353"/>
      <c r="U17" s="353"/>
      <c r="V17" s="353"/>
      <c r="W17" s="47"/>
    </row>
    <row r="18" spans="2:30" ht="15.9" customHeight="1">
      <c r="B18" s="25" t="s">
        <v>54</v>
      </c>
      <c r="C18" s="19"/>
      <c r="D18" s="21"/>
      <c r="E18" s="195">
        <v>2</v>
      </c>
      <c r="F18" s="24">
        <f>E18</f>
        <v>2</v>
      </c>
      <c r="G18" s="57">
        <f t="shared" si="2"/>
        <v>0</v>
      </c>
      <c r="H18" s="23">
        <f t="shared" si="0"/>
        <v>15</v>
      </c>
      <c r="I18" s="22">
        <f t="shared" si="0"/>
        <v>15</v>
      </c>
      <c r="J18" s="53">
        <f t="shared" si="3"/>
        <v>0</v>
      </c>
      <c r="L18" s="4"/>
      <c r="N18" s="347"/>
      <c r="O18" s="353"/>
      <c r="P18" s="353"/>
      <c r="Q18" s="363"/>
      <c r="R18" s="363"/>
      <c r="S18" s="363"/>
      <c r="T18" s="353"/>
      <c r="U18" s="353"/>
      <c r="V18" s="353"/>
    </row>
    <row r="19" spans="2:30" ht="15.9" customHeight="1">
      <c r="B19" s="43" t="s">
        <v>39</v>
      </c>
      <c r="C19" s="43"/>
      <c r="D19" s="43"/>
      <c r="E19" s="44">
        <v>0</v>
      </c>
      <c r="F19" s="44">
        <f>IF(OR(F18*D5&gt;200,F18*D5&lt;50),"Off-label",F18*D5)</f>
        <v>200</v>
      </c>
      <c r="G19" s="58">
        <f>IFERROR(F19-E19,"n/a")</f>
        <v>200</v>
      </c>
      <c r="H19" s="26"/>
      <c r="I19" s="27"/>
      <c r="J19" s="27"/>
      <c r="L19" s="4"/>
      <c r="N19" s="347"/>
      <c r="O19" s="353"/>
      <c r="P19" s="353"/>
      <c r="Q19" s="363"/>
      <c r="R19" s="363"/>
      <c r="S19" s="363"/>
      <c r="T19" s="353"/>
      <c r="U19" s="353"/>
      <c r="V19" s="353"/>
    </row>
    <row r="20" spans="2:30" ht="15.9" customHeight="1">
      <c r="B20" s="63" t="s">
        <v>29</v>
      </c>
      <c r="C20" s="63"/>
      <c r="D20" s="63"/>
      <c r="E20" s="64">
        <v>0</v>
      </c>
      <c r="F20" s="64">
        <f>IFERROR((100-(D117-(F19-B117)*G113))/100*B143,"n/a")</f>
        <v>0.10799999999999997</v>
      </c>
      <c r="G20" s="59">
        <f>IF(F19="Off-label","n/a",SUM(F13:F16)/SUM(E13:E16)-1)</f>
        <v>-0.10799999999999998</v>
      </c>
      <c r="H20" s="45" t="s">
        <v>48</v>
      </c>
      <c r="I20" s="46"/>
      <c r="J20" s="46"/>
      <c r="L20" s="4"/>
      <c r="M20" s="72"/>
      <c r="N20" s="390"/>
      <c r="O20" s="353"/>
      <c r="P20" s="363"/>
      <c r="Q20" s="363"/>
      <c r="R20" s="363"/>
      <c r="S20" s="363"/>
      <c r="T20" s="353"/>
      <c r="U20" s="353"/>
      <c r="V20" s="353"/>
      <c r="X20" s="341"/>
      <c r="Y20" s="341"/>
      <c r="Z20" s="341"/>
      <c r="AA20" s="341"/>
      <c r="AB20" s="341"/>
      <c r="AC20" s="341"/>
      <c r="AD20" s="341"/>
    </row>
    <row r="21" spans="2:30" ht="15.9" customHeight="1">
      <c r="B21" s="19" t="s">
        <v>56</v>
      </c>
      <c r="C21" s="19"/>
      <c r="D21" s="19"/>
      <c r="E21" s="28">
        <f>E18*D6/2000</f>
        <v>0.2</v>
      </c>
      <c r="F21" s="28">
        <f>IF(F19="Off-label","n/a",F18*(D6+(D4-D6)*B144)/2000)</f>
        <v>0.22</v>
      </c>
      <c r="G21" s="62">
        <f>IFERROR(F21-E21,"n/a")</f>
        <v>1.999999999999999E-2</v>
      </c>
      <c r="H21" s="29">
        <f>E21*$D8*$D9</f>
        <v>3000</v>
      </c>
      <c r="I21" s="30">
        <f>IFERROR(F21*$D8*$D9,"n/a")</f>
        <v>3300</v>
      </c>
      <c r="J21" s="31">
        <f>IFERROR(I21-H21,"n/a")</f>
        <v>300</v>
      </c>
      <c r="L21" s="4"/>
      <c r="N21" s="347"/>
      <c r="O21" s="353" t="s">
        <v>233</v>
      </c>
      <c r="P21" s="363"/>
      <c r="Q21" s="391"/>
      <c r="R21" s="363"/>
      <c r="S21" s="353"/>
      <c r="T21" s="363"/>
      <c r="U21" s="343">
        <v>2.5000000000000001E-2</v>
      </c>
      <c r="V21" s="353"/>
      <c r="X21" s="341"/>
      <c r="Y21" s="341"/>
      <c r="Z21" s="341"/>
      <c r="AA21" s="341"/>
      <c r="AB21" s="341"/>
      <c r="AC21" s="341"/>
      <c r="AD21" s="341"/>
    </row>
    <row r="22" spans="2:30" ht="15.9" customHeight="1">
      <c r="B22" s="19" t="s">
        <v>43</v>
      </c>
      <c r="C22" s="19"/>
      <c r="D22" s="19"/>
      <c r="E22" s="32">
        <f>(SUMPRODUCT($D13:$D17,E13:E17)/2000+E21)*$D9</f>
        <v>248.4375</v>
      </c>
      <c r="F22" s="32">
        <f>IFERROR((SUMPRODUCT($D13:$D17,F13:F17)/2000+F21)*$D9,"n/a")</f>
        <v>228.75749999999999</v>
      </c>
      <c r="G22" s="60">
        <f>IFERROR(F22-E22,"n/a")</f>
        <v>-19.680000000000007</v>
      </c>
      <c r="H22" s="29">
        <f>SUMPRODUCT($D13:$D18,H13:H18)+H21</f>
        <v>24843.75</v>
      </c>
      <c r="I22" s="30">
        <f>IFERROR(SUMPRODUCT($D13:$D18,I13:I18)+I21,"n/a")</f>
        <v>22875.75</v>
      </c>
      <c r="J22" s="61">
        <f>IFERROR(I22-H22,"n/a")</f>
        <v>-1968</v>
      </c>
      <c r="L22" s="4"/>
      <c r="N22" s="347"/>
      <c r="O22" s="353"/>
      <c r="P22" s="353"/>
      <c r="Q22" s="353"/>
      <c r="R22" s="353"/>
      <c r="S22" s="353"/>
      <c r="T22" s="353"/>
      <c r="U22" s="353"/>
      <c r="V22" s="353"/>
    </row>
    <row r="23" spans="2:30" ht="15.9" customHeight="1">
      <c r="B23" s="65" t="s">
        <v>133</v>
      </c>
      <c r="C23" s="65"/>
      <c r="D23" s="65"/>
      <c r="E23" s="66"/>
      <c r="F23" s="67">
        <f>IFERROR(-G22,"n/a")</f>
        <v>19.680000000000007</v>
      </c>
      <c r="G23" s="243" t="s">
        <v>134</v>
      </c>
      <c r="H23" s="68"/>
      <c r="I23" s="66">
        <f>IFERROR(-J22,"n/a")</f>
        <v>1968</v>
      </c>
      <c r="J23" s="244" t="s">
        <v>135</v>
      </c>
      <c r="L23" s="4"/>
      <c r="N23" s="347"/>
      <c r="O23" s="353"/>
      <c r="P23" s="353"/>
      <c r="Q23" s="353"/>
      <c r="R23" s="353"/>
      <c r="S23" s="353"/>
      <c r="T23" s="353"/>
      <c r="U23" s="353"/>
      <c r="V23" s="353"/>
    </row>
    <row r="24" spans="2:30" ht="15.9" customHeight="1" thickBot="1">
      <c r="B24" s="69" t="s">
        <v>138</v>
      </c>
      <c r="C24" s="70"/>
      <c r="D24" s="70"/>
      <c r="E24" s="70"/>
      <c r="F24" s="246">
        <f>IFERROR((F23+G21*D9)/(G21*D9),"n/a")</f>
        <v>7.5600000000000058</v>
      </c>
      <c r="G24" s="245" t="str">
        <f>IF(F24&gt;1,"(+","(")&amp;FIXED((F24-1)*100,0)&amp;"%)"</f>
        <v>(+656%)</v>
      </c>
      <c r="H24" s="71"/>
      <c r="I24" s="246">
        <f>IFERROR((I23+J21)/J21,"n/a")</f>
        <v>7.56</v>
      </c>
      <c r="J24" s="245" t="str">
        <f>G24</f>
        <v>(+656%)</v>
      </c>
      <c r="L24" s="4"/>
      <c r="N24" s="347"/>
      <c r="O24" s="353"/>
      <c r="P24" s="353"/>
      <c r="Q24" s="353"/>
      <c r="R24" s="353"/>
      <c r="S24" s="353"/>
      <c r="T24" s="353"/>
      <c r="U24" s="353"/>
      <c r="V24" s="353"/>
    </row>
    <row r="25" spans="2:30" ht="17.25" customHeight="1">
      <c r="B25" s="33" t="s">
        <v>145</v>
      </c>
      <c r="L25" s="4"/>
      <c r="N25" s="347"/>
      <c r="O25" s="353"/>
      <c r="P25" s="353"/>
      <c r="Q25" s="353"/>
      <c r="R25" s="353"/>
      <c r="S25" s="353"/>
      <c r="T25" s="353"/>
      <c r="U25" s="353"/>
      <c r="V25" s="353"/>
    </row>
    <row r="26" spans="2:30" ht="17.25" customHeight="1" thickBot="1">
      <c r="B26" s="33"/>
      <c r="L26" s="4"/>
      <c r="N26" s="347"/>
      <c r="O26" s="353"/>
      <c r="P26" s="353"/>
      <c r="Q26" s="353"/>
      <c r="R26" s="353"/>
      <c r="S26" s="353"/>
      <c r="T26" s="353"/>
      <c r="U26" s="353"/>
      <c r="V26" s="353"/>
    </row>
    <row r="27" spans="2:30" s="51" customFormat="1" ht="20.149999999999999" customHeight="1">
      <c r="B27" s="90" t="str">
        <f>"SUMMARY -- Feeding Rumensin @ "&amp;FIXED(F19,0)&amp;" mg/hd/d to "&amp;D8&amp;" cows for "&amp;D9&amp; " days results in:"</f>
        <v>SUMMARY -- Feeding Rumensin @ 200 mg/hd/d to 100 cows for 150 days results in:</v>
      </c>
      <c r="C27" s="82"/>
      <c r="D27" s="82"/>
      <c r="E27" s="82"/>
      <c r="F27" s="82"/>
      <c r="G27" s="82"/>
      <c r="H27" s="83"/>
      <c r="I27" s="83"/>
      <c r="J27" s="83"/>
      <c r="K27" s="52"/>
      <c r="L27" s="52"/>
      <c r="M27" s="52"/>
      <c r="N27" s="392"/>
      <c r="O27" s="353"/>
      <c r="P27" s="353"/>
      <c r="Q27" s="353"/>
      <c r="R27" s="353"/>
      <c r="S27" s="353"/>
      <c r="T27" s="353"/>
      <c r="U27" s="353"/>
      <c r="V27" s="353"/>
      <c r="W27" s="3"/>
    </row>
    <row r="28" spans="2:30" s="84" customFormat="1" ht="20.149999999999999" customHeight="1" thickBot="1">
      <c r="B28" s="85" t="str">
        <f>"An increase in Net Returns of $"&amp;FIXED(I23,0)&amp;" with a savings of "&amp;FIXED(-J13,1)&amp;" tons of "&amp;B13&amp;IF(J14&lt;0," and "&amp;FIXED(-J14,1)&amp;" tons of "&amp;B14,"")</f>
        <v>An increase in Net Returns of $1,968 with a savings of 24.3 tons of Hay/forage and 0.6 tons of Grain</v>
      </c>
      <c r="C28" s="86"/>
      <c r="D28" s="86"/>
      <c r="E28" s="86"/>
      <c r="F28" s="86"/>
      <c r="G28" s="86"/>
      <c r="H28" s="87"/>
      <c r="I28" s="87"/>
      <c r="J28" s="87"/>
      <c r="K28" s="88"/>
      <c r="L28" s="89"/>
      <c r="M28" s="88"/>
      <c r="N28" s="393"/>
      <c r="O28" s="353"/>
      <c r="P28" s="353"/>
      <c r="Q28" s="353"/>
      <c r="R28" s="353"/>
      <c r="S28" s="353"/>
      <c r="T28" s="353"/>
      <c r="U28" s="353"/>
      <c r="V28" s="353"/>
      <c r="W28" s="3"/>
    </row>
    <row r="29" spans="2:30">
      <c r="B29" s="33"/>
      <c r="E29" s="34"/>
      <c r="F29" s="35"/>
      <c r="N29" s="347"/>
      <c r="O29" s="353"/>
      <c r="P29" s="353"/>
      <c r="Q29" s="353"/>
      <c r="R29" s="353"/>
      <c r="S29" s="353"/>
      <c r="T29" s="353"/>
      <c r="U29" s="353"/>
      <c r="V29" s="353"/>
    </row>
    <row r="30" spans="2:30">
      <c r="B30" s="33"/>
      <c r="E30" s="34"/>
      <c r="F30" s="35"/>
      <c r="O30" s="353"/>
      <c r="P30" s="353"/>
      <c r="Q30" s="353"/>
      <c r="R30" s="353"/>
      <c r="S30" s="353"/>
      <c r="T30" s="353"/>
      <c r="U30" s="353"/>
      <c r="V30" s="353"/>
    </row>
    <row r="31" spans="2:30">
      <c r="B31" s="407" t="s">
        <v>72</v>
      </c>
      <c r="C31" s="408"/>
      <c r="D31" s="408"/>
      <c r="E31" s="408"/>
      <c r="F31" s="408"/>
      <c r="G31" s="408"/>
      <c r="H31" s="408"/>
      <c r="I31" s="408"/>
      <c r="J31" s="408"/>
      <c r="K31" s="162"/>
      <c r="L31" s="162"/>
      <c r="M31" s="162"/>
      <c r="N31" s="378"/>
      <c r="O31" s="378"/>
      <c r="P31" s="378"/>
    </row>
    <row r="32" spans="2:30">
      <c r="B32" s="409"/>
      <c r="C32" s="409"/>
      <c r="D32" s="409"/>
      <c r="E32" s="409"/>
      <c r="F32" s="409"/>
      <c r="G32" s="409"/>
      <c r="H32" s="409"/>
      <c r="I32" s="409"/>
      <c r="J32" s="409"/>
      <c r="K32" s="162"/>
      <c r="L32" s="162"/>
      <c r="M32" s="162"/>
      <c r="N32" s="378"/>
    </row>
    <row r="33" spans="2:14">
      <c r="B33" s="409"/>
      <c r="C33" s="409"/>
      <c r="D33" s="409"/>
      <c r="E33" s="409"/>
      <c r="F33" s="409"/>
      <c r="G33" s="409"/>
      <c r="H33" s="409"/>
      <c r="I33" s="409"/>
      <c r="J33" s="409"/>
      <c r="K33" s="162"/>
      <c r="L33" s="162"/>
      <c r="M33" s="162"/>
      <c r="N33" s="378"/>
    </row>
    <row r="34" spans="2:14">
      <c r="B34" s="410"/>
      <c r="C34" s="410"/>
      <c r="D34" s="410"/>
      <c r="E34" s="410"/>
      <c r="F34" s="410"/>
      <c r="G34" s="410"/>
      <c r="H34" s="410"/>
      <c r="I34" s="410"/>
      <c r="J34" s="410"/>
    </row>
    <row r="35" spans="2:14">
      <c r="B35" s="185" t="s">
        <v>86</v>
      </c>
      <c r="E35" s="34"/>
      <c r="F35" s="35"/>
      <c r="J35" s="184"/>
    </row>
    <row r="36" spans="2:14">
      <c r="B36" s="185" t="s">
        <v>87</v>
      </c>
      <c r="E36" s="34"/>
      <c r="F36" s="35"/>
      <c r="J36" s="184"/>
    </row>
    <row r="37" spans="2:14">
      <c r="B37" s="183"/>
      <c r="E37" s="34"/>
      <c r="F37" s="35"/>
    </row>
    <row r="38" spans="2:14">
      <c r="B38" s="36" t="s">
        <v>23</v>
      </c>
      <c r="C38" s="37"/>
      <c r="D38" s="37"/>
      <c r="E38" s="37"/>
      <c r="F38" s="37"/>
      <c r="G38" s="37"/>
      <c r="H38" s="37"/>
      <c r="I38" s="37"/>
      <c r="J38" s="38"/>
    </row>
    <row r="39" spans="2:14">
      <c r="B39" s="39"/>
      <c r="C39" s="40"/>
      <c r="D39" s="40"/>
      <c r="E39" s="40"/>
      <c r="F39" s="40"/>
      <c r="G39" s="40"/>
      <c r="H39" s="40"/>
      <c r="I39" s="40"/>
      <c r="J39" s="41"/>
    </row>
    <row r="40" spans="2:14">
      <c r="B40" s="399" t="s">
        <v>57</v>
      </c>
      <c r="C40" s="400"/>
      <c r="D40" s="400"/>
      <c r="E40" s="400"/>
      <c r="F40" s="400"/>
      <c r="G40" s="400"/>
      <c r="H40" s="400"/>
      <c r="I40" s="400"/>
      <c r="J40" s="401"/>
    </row>
    <row r="41" spans="2:14">
      <c r="B41" s="402"/>
      <c r="C41" s="400"/>
      <c r="D41" s="400"/>
      <c r="E41" s="400"/>
      <c r="F41" s="400"/>
      <c r="G41" s="400"/>
      <c r="H41" s="400"/>
      <c r="I41" s="400"/>
      <c r="J41" s="401"/>
    </row>
    <row r="42" spans="2:14">
      <c r="B42" s="42"/>
      <c r="C42" s="40"/>
      <c r="D42" s="40"/>
      <c r="E42" s="40"/>
      <c r="F42" s="40"/>
      <c r="G42" s="40"/>
      <c r="H42" s="40"/>
      <c r="I42" s="40"/>
      <c r="J42" s="41"/>
    </row>
    <row r="43" spans="2:14">
      <c r="B43" s="403" t="s">
        <v>58</v>
      </c>
      <c r="C43" s="400"/>
      <c r="D43" s="400"/>
      <c r="E43" s="400"/>
      <c r="F43" s="400"/>
      <c r="G43" s="400"/>
      <c r="H43" s="400"/>
      <c r="I43" s="400"/>
      <c r="J43" s="401"/>
    </row>
    <row r="44" spans="2:14">
      <c r="B44" s="404"/>
      <c r="C44" s="405"/>
      <c r="D44" s="405"/>
      <c r="E44" s="405"/>
      <c r="F44" s="405"/>
      <c r="G44" s="405"/>
      <c r="H44" s="405"/>
      <c r="I44" s="405"/>
      <c r="J44" s="406"/>
    </row>
    <row r="100" spans="2:13">
      <c r="B100" s="137"/>
      <c r="C100" s="137"/>
      <c r="D100" s="137"/>
      <c r="E100" s="137"/>
      <c r="F100" s="137"/>
      <c r="G100" s="137"/>
      <c r="H100" s="163"/>
      <c r="I100" s="163"/>
      <c r="J100" s="163"/>
      <c r="K100" s="163"/>
      <c r="L100" s="164"/>
      <c r="M100" s="163"/>
    </row>
    <row r="101" spans="2:13">
      <c r="B101" s="3" t="s">
        <v>91</v>
      </c>
      <c r="C101" s="202">
        <v>43915</v>
      </c>
    </row>
    <row r="102" spans="2:13">
      <c r="B102" s="3" t="s">
        <v>92</v>
      </c>
      <c r="C102" s="117" t="s">
        <v>93</v>
      </c>
    </row>
    <row r="104" spans="2:13">
      <c r="B104" s="3" t="s">
        <v>67</v>
      </c>
      <c r="D104" s="31">
        <f>D6+(D4-D6)*B144</f>
        <v>220</v>
      </c>
      <c r="F104" s="203">
        <v>550</v>
      </c>
      <c r="G104" s="138" t="s">
        <v>32</v>
      </c>
      <c r="H104" s="139"/>
      <c r="I104" s="139"/>
    </row>
    <row r="105" spans="2:13">
      <c r="B105" s="3" t="s">
        <v>69</v>
      </c>
      <c r="D105" s="31">
        <f>D6</f>
        <v>200</v>
      </c>
      <c r="F105" s="140">
        <v>2.2046199999999998</v>
      </c>
      <c r="G105" s="138" t="s">
        <v>33</v>
      </c>
      <c r="H105" s="139"/>
      <c r="I105" s="139"/>
    </row>
    <row r="106" spans="2:13">
      <c r="B106" s="3" t="s">
        <v>68</v>
      </c>
      <c r="D106" s="31">
        <f>D104-D105</f>
        <v>20</v>
      </c>
      <c r="F106" s="204">
        <v>0.25</v>
      </c>
      <c r="G106" s="138" t="s">
        <v>34</v>
      </c>
      <c r="H106" s="139"/>
      <c r="I106" s="139"/>
    </row>
    <row r="107" spans="2:13">
      <c r="B107" s="3" t="s">
        <v>70</v>
      </c>
      <c r="D107" s="93">
        <f>D5</f>
        <v>100</v>
      </c>
      <c r="F107" s="166">
        <f>F104*(1+F106)</f>
        <v>687.5</v>
      </c>
      <c r="G107" s="138" t="s">
        <v>90</v>
      </c>
      <c r="H107" s="139"/>
      <c r="I107" s="139"/>
    </row>
    <row r="108" spans="2:13">
      <c r="B108" s="3" t="s">
        <v>1</v>
      </c>
      <c r="D108" s="165">
        <f>D106/(D107*2000)*100</f>
        <v>0.01</v>
      </c>
      <c r="F108" s="141">
        <f>F107/(25*F105*90.7)/1000*100</f>
        <v>1.3752816989503959E-2</v>
      </c>
      <c r="G108" s="138" t="s">
        <v>35</v>
      </c>
      <c r="H108" s="139"/>
      <c r="I108" s="139"/>
    </row>
    <row r="109" spans="2:13">
      <c r="B109" s="3" t="s">
        <v>71</v>
      </c>
      <c r="D109" s="166">
        <f>D108/100*1000*(25*2.20462*90.7)</f>
        <v>499.89758499999999</v>
      </c>
      <c r="H109" s="3"/>
      <c r="I109" s="3"/>
    </row>
    <row r="110" spans="2:13">
      <c r="F110" s="2"/>
      <c r="G110" s="138"/>
    </row>
    <row r="111" spans="2:13">
      <c r="G111" s="33"/>
    </row>
    <row r="112" spans="2:13">
      <c r="G112" s="33"/>
    </row>
    <row r="113" spans="2:10">
      <c r="B113" s="132" t="s">
        <v>30</v>
      </c>
      <c r="F113" s="167" t="s">
        <v>31</v>
      </c>
      <c r="G113" s="3">
        <f>(D117-D118)/(B118-B117)</f>
        <v>3.7333333333333295E-2</v>
      </c>
      <c r="H113" s="3"/>
      <c r="I113" s="3"/>
      <c r="J113" s="3"/>
    </row>
    <row r="115" spans="2:10">
      <c r="B115" s="168" t="s">
        <v>25</v>
      </c>
      <c r="C115" s="168" t="s">
        <v>26</v>
      </c>
      <c r="D115" s="168" t="s">
        <v>83</v>
      </c>
      <c r="E115" s="168" t="s">
        <v>28</v>
      </c>
      <c r="F115" s="168" t="s">
        <v>25</v>
      </c>
      <c r="G115" s="168" t="s">
        <v>27</v>
      </c>
      <c r="H115" s="3"/>
      <c r="I115" s="3"/>
      <c r="J115" s="3"/>
    </row>
    <row r="116" spans="2:10">
      <c r="B116" s="99">
        <v>0</v>
      </c>
      <c r="C116" s="99">
        <f>B116^2</f>
        <v>0</v>
      </c>
      <c r="D116" s="99">
        <v>100</v>
      </c>
      <c r="E116" s="169">
        <f t="array" ref="E116:G120">LINEST(D116:D120,B116:C120,1,1)</f>
        <v>2.3314285714285711E-4</v>
      </c>
      <c r="F116" s="170">
        <v>-9.8788571428571392E-2</v>
      </c>
      <c r="G116" s="170">
        <v>99.757714285714286</v>
      </c>
      <c r="H116" s="3"/>
      <c r="I116" s="3"/>
      <c r="J116" s="3"/>
    </row>
    <row r="117" spans="2:10">
      <c r="B117" s="94">
        <v>50</v>
      </c>
      <c r="C117" s="94">
        <f>B117^2</f>
        <v>2500</v>
      </c>
      <c r="D117" s="94">
        <v>94.8</v>
      </c>
      <c r="E117" s="171">
        <v>5.7389183365395292E-5</v>
      </c>
      <c r="F117" s="172">
        <v>1.1969463186776295E-2</v>
      </c>
      <c r="G117" s="172">
        <v>0.50522042067734096</v>
      </c>
      <c r="H117" s="3"/>
      <c r="I117" s="3"/>
      <c r="J117" s="3"/>
    </row>
    <row r="118" spans="2:10">
      <c r="B118" s="94">
        <v>200</v>
      </c>
      <c r="C118" s="94">
        <f>B118^2</f>
        <v>40000</v>
      </c>
      <c r="D118" s="94">
        <v>89.2</v>
      </c>
      <c r="E118" s="171">
        <v>0.9921421591113061</v>
      </c>
      <c r="F118" s="172">
        <v>0.5368266546501389</v>
      </c>
      <c r="G118" s="172" t="e">
        <v>#N/A</v>
      </c>
      <c r="H118" s="3"/>
      <c r="I118" s="3"/>
      <c r="J118" s="3"/>
    </row>
    <row r="119" spans="2:10">
      <c r="B119" s="173">
        <v>100</v>
      </c>
      <c r="C119" s="173">
        <f>B119^2</f>
        <v>10000</v>
      </c>
      <c r="D119" s="174">
        <f>D117-(G113*(B119-B117))*1.2</f>
        <v>92.56</v>
      </c>
      <c r="E119" s="175">
        <v>126.26142131979579</v>
      </c>
      <c r="F119" s="176">
        <v>2</v>
      </c>
      <c r="G119" s="172" t="e">
        <v>#N/A</v>
      </c>
      <c r="H119" s="3"/>
      <c r="I119" s="3"/>
      <c r="J119" s="3"/>
    </row>
    <row r="120" spans="2:10">
      <c r="B120" s="177">
        <v>150</v>
      </c>
      <c r="C120" s="177">
        <f>B120^2</f>
        <v>22500</v>
      </c>
      <c r="D120" s="178">
        <f>D117-(G113*(B120-B117))*1.2</f>
        <v>90.320000000000007</v>
      </c>
      <c r="E120" s="179">
        <v>72.7727542857142</v>
      </c>
      <c r="F120" s="180">
        <v>0.57636571428571892</v>
      </c>
      <c r="G120" s="180" t="e">
        <v>#N/A</v>
      </c>
      <c r="H120" s="3"/>
      <c r="I120" s="3"/>
      <c r="J120" s="3"/>
    </row>
    <row r="122" spans="2:10">
      <c r="C122" s="167" t="s">
        <v>52</v>
      </c>
      <c r="D122" s="2">
        <v>125</v>
      </c>
      <c r="E122" s="181">
        <f>100-(G116+F116*D122+E116*D122^2)</f>
        <v>8.9479999999999933</v>
      </c>
      <c r="F122" s="3" t="s">
        <v>53</v>
      </c>
    </row>
    <row r="143" spans="2:4">
      <c r="B143" s="344">
        <v>1</v>
      </c>
      <c r="C143" s="329" t="s">
        <v>236</v>
      </c>
      <c r="D143" s="330"/>
    </row>
    <row r="144" spans="2:4">
      <c r="B144" s="344">
        <v>1</v>
      </c>
      <c r="C144" s="329" t="s">
        <v>235</v>
      </c>
      <c r="D144" s="330"/>
    </row>
    <row r="148" spans="5:6">
      <c r="E148" s="138"/>
    </row>
    <row r="154" spans="5:6">
      <c r="F154" s="139"/>
    </row>
    <row r="155" spans="5:6">
      <c r="F155" s="139"/>
    </row>
    <row r="156" spans="5:6">
      <c r="F156" s="139"/>
    </row>
    <row r="157" spans="5:6">
      <c r="F157" s="139"/>
    </row>
    <row r="158" spans="5:6">
      <c r="F158" s="139"/>
    </row>
  </sheetData>
  <sheetProtection password="9F29" sheet="1" objects="1" scenarios="1"/>
  <mergeCells count="6">
    <mergeCell ref="O6:O10"/>
    <mergeCell ref="B40:J41"/>
    <mergeCell ref="B43:J44"/>
    <mergeCell ref="B31:J34"/>
    <mergeCell ref="E12:G12"/>
    <mergeCell ref="H12:J12"/>
  </mergeCells>
  <dataValidations count="6">
    <dataValidation type="whole" allowBlank="1" showInputMessage="1" showErrorMessage="1" error="This level is off-label" sqref="F19">
      <formula1>50</formula1>
      <formula2>200</formula2>
    </dataValidation>
    <dataValidation type="decimal" allowBlank="1" showInputMessage="1" showErrorMessage="1" error="That consumption level results in level of Rumensin that is off-lable." sqref="F18">
      <formula1>50/D5</formula1>
      <formula2>200/D5</formula2>
    </dataValidation>
    <dataValidation type="decimal" operator="greaterThan" allowBlank="1" showInputMessage="1" showErrorMessage="1" error="The cost of supplement with Rumensin cannot be less than the cost without Rumensin." sqref="D4 D6">
      <formula1>D6</formula1>
    </dataValidation>
    <dataValidation type="decimal" allowBlank="1" showInputMessage="1" showErrorMessage="1" error="Value must be between 0% and 100%." sqref="L13:L16">
      <formula1>0</formula1>
      <formula2>1</formula2>
    </dataValidation>
    <dataValidation type="decimal" allowBlank="1" showInputMessage="1" showErrorMessage="1" error="This level of supplement results in an off-label rate of Rumensin for the Rumensin scenario.  Rumensin dose must be at 50-200 mg/hd/d." sqref="E18">
      <formula1>50/D5</formula1>
      <formula2>200/D5</formula2>
    </dataValidation>
    <dataValidation type="decimal" allowBlank="1" showInputMessage="1" showErrorMessage="1" error="Label is for 50-200 mg/hd/d" sqref="D122">
      <formula1>50</formula1>
      <formula2>200</formula2>
    </dataValidation>
  </dataValidations>
  <pageMargins left="0.7" right="0.7" top="0.75" bottom="0.75" header="0.3" footer="0.3"/>
  <pageSetup scale="92" orientation="landscape" r:id="rId1"/>
  <ignoredErrors>
    <ignoredError sqref="D14 E14:G19 E20 G20" unlockedFormula="1"/>
  </ignoredErrors>
  <drawing r:id="rId2"/>
  <legacyDrawing r:id="rId3"/>
</worksheet>
</file>

<file path=xl/worksheets/sheet3.xml><?xml version="1.0" encoding="utf-8"?>
<worksheet xmlns="http://schemas.openxmlformats.org/spreadsheetml/2006/main" xmlns:r="http://schemas.openxmlformats.org/officeDocument/2006/relationships">
  <sheetPr published="0">
    <pageSetUpPr fitToPage="1"/>
  </sheetPr>
  <dimension ref="A2:AA116"/>
  <sheetViews>
    <sheetView showGridLines="0" zoomScaleNormal="100" workbookViewId="0"/>
  </sheetViews>
  <sheetFormatPr defaultColWidth="9.08984375" defaultRowHeight="14.5"/>
  <cols>
    <col min="1" max="1" width="6.6328125" style="3" customWidth="1"/>
    <col min="2" max="2" width="28.6328125" style="3" customWidth="1"/>
    <col min="3" max="7" width="13.08984375" style="3" customWidth="1"/>
    <col min="8" max="9" width="9.08984375" style="354"/>
    <col min="10" max="10" width="9.08984375" style="354" customWidth="1"/>
    <col min="11" max="15" width="11" style="354" customWidth="1"/>
    <col min="16" max="19" width="9.08984375" style="354"/>
    <col min="20" max="27" width="9.08984375" style="92"/>
    <col min="28" max="16384" width="9.08984375" style="3"/>
  </cols>
  <sheetData>
    <row r="2" spans="2:27" s="91" customFormat="1" ht="17.5" thickBot="1">
      <c r="B2" s="77" t="s">
        <v>88</v>
      </c>
      <c r="C2" s="6"/>
      <c r="D2" s="6"/>
      <c r="E2" s="6"/>
      <c r="F2" s="6"/>
      <c r="G2" s="320" t="str">
        <f>'Cow-calf'!J2</f>
        <v>Version:  3.25.20</v>
      </c>
      <c r="H2" s="347" t="str">
        <f>IF(I2="Elanco","None","Box")</f>
        <v>Box</v>
      </c>
      <c r="I2" s="394" t="s">
        <v>244</v>
      </c>
      <c r="J2" s="348"/>
      <c r="K2" s="348"/>
      <c r="L2" s="348"/>
      <c r="M2" s="348"/>
      <c r="N2" s="348"/>
      <c r="O2" s="348"/>
      <c r="P2" s="348"/>
      <c r="Q2" s="348"/>
      <c r="R2" s="348"/>
      <c r="S2" s="348"/>
      <c r="T2" s="3"/>
      <c r="U2" s="3"/>
      <c r="V2" s="3"/>
      <c r="W2" s="3"/>
      <c r="X2" s="3"/>
      <c r="Y2" s="73"/>
      <c r="Z2" s="73"/>
      <c r="AA2" s="73"/>
    </row>
    <row r="3" spans="2:27" ht="15.5">
      <c r="B3" s="3" t="s">
        <v>77</v>
      </c>
      <c r="G3" s="250">
        <v>3</v>
      </c>
      <c r="H3" s="349" t="str">
        <f>IF(AND(G3&gt;=1,G3&lt;=3),"","&lt;= This value needs to be 1, 2, or 3")</f>
        <v/>
      </c>
      <c r="I3" s="350" t="str">
        <f>"Total Net Feed Savings, $/year -- Rumensin = "&amp;FIXED(E14,0)&amp;" g/ton"</f>
        <v>Total Net Feed Savings, $/year -- Rumensin = 30 g/ton</v>
      </c>
      <c r="J3" s="351"/>
      <c r="K3" s="351"/>
      <c r="L3" s="351"/>
      <c r="M3" s="351"/>
      <c r="N3" s="351"/>
      <c r="O3" s="351"/>
      <c r="P3" s="348"/>
      <c r="Q3" s="352"/>
      <c r="R3" s="353"/>
      <c r="S3" s="353"/>
      <c r="T3" s="341"/>
      <c r="U3" s="341"/>
      <c r="V3" s="341"/>
      <c r="W3" s="341"/>
      <c r="X3" s="341"/>
    </row>
    <row r="4" spans="2:27" ht="17">
      <c r="B4" s="102" t="s">
        <v>73</v>
      </c>
      <c r="C4" s="107"/>
      <c r="D4" s="107"/>
      <c r="E4" s="107"/>
      <c r="F4" s="107"/>
      <c r="G4" s="252">
        <v>175</v>
      </c>
      <c r="I4" s="353"/>
      <c r="J4" s="353"/>
      <c r="K4" s="355" t="s">
        <v>231</v>
      </c>
      <c r="L4" s="355"/>
      <c r="M4" s="355"/>
      <c r="N4" s="355"/>
      <c r="O4" s="355"/>
      <c r="P4" s="356"/>
      <c r="Q4" s="352"/>
      <c r="R4" s="353"/>
      <c r="S4" s="353"/>
      <c r="T4" s="341"/>
      <c r="U4" s="341"/>
      <c r="V4" s="341"/>
      <c r="W4" s="341"/>
      <c r="X4" s="341"/>
    </row>
    <row r="5" spans="2:27" ht="17">
      <c r="B5" s="102" t="s">
        <v>18</v>
      </c>
      <c r="C5" s="107"/>
      <c r="D5" s="107"/>
      <c r="E5" s="107"/>
      <c r="F5" s="107"/>
      <c r="G5" s="253">
        <v>22</v>
      </c>
      <c r="I5" s="353"/>
      <c r="J5" s="357">
        <f>E33</f>
        <v>10.108637021903519</v>
      </c>
      <c r="K5" s="358">
        <f>L5-$O39</f>
        <v>0.89999999999999991</v>
      </c>
      <c r="L5" s="358">
        <f>M5-$O39</f>
        <v>0.92499999999999993</v>
      </c>
      <c r="M5" s="358">
        <f>N5-$O39</f>
        <v>0.95</v>
      </c>
      <c r="N5" s="358">
        <f>O5-$O39</f>
        <v>0.97499999999999998</v>
      </c>
      <c r="O5" s="358">
        <v>1</v>
      </c>
      <c r="P5" s="356"/>
      <c r="Q5" s="353"/>
      <c r="S5" s="353"/>
      <c r="T5" s="341"/>
      <c r="U5" s="341"/>
      <c r="V5" s="341"/>
      <c r="W5" s="341"/>
      <c r="X5" s="341"/>
    </row>
    <row r="6" spans="2:27" ht="17">
      <c r="B6" s="102" t="s">
        <v>74</v>
      </c>
      <c r="C6" s="107"/>
      <c r="D6" s="107"/>
      <c r="E6" s="107"/>
      <c r="F6" s="107"/>
      <c r="G6" s="252">
        <v>3.5</v>
      </c>
      <c r="I6" s="396" t="s">
        <v>232</v>
      </c>
      <c r="J6" s="359">
        <f>J7-O$34</f>
        <v>0.79999999999999982</v>
      </c>
      <c r="K6" s="360">
        <f t="dataTable" ref="K6:O10" dt2D="1" dtr="1" r1="D108" r2="D109"/>
        <v>9.6863527855784923</v>
      </c>
      <c r="L6" s="361">
        <v>10.096260070700566</v>
      </c>
      <c r="M6" s="361">
        <v>10.506167355822868</v>
      </c>
      <c r="N6" s="361">
        <v>10.916074640945055</v>
      </c>
      <c r="O6" s="362">
        <v>11.3259819260673</v>
      </c>
      <c r="P6" s="356"/>
      <c r="Q6" s="353"/>
      <c r="R6" s="353"/>
      <c r="S6" s="363"/>
      <c r="T6" s="342"/>
      <c r="U6" s="342"/>
      <c r="V6" s="341"/>
      <c r="W6" s="341"/>
      <c r="X6" s="341"/>
    </row>
    <row r="7" spans="2:27">
      <c r="B7" s="102" t="s">
        <v>19</v>
      </c>
      <c r="C7" s="107"/>
      <c r="D7" s="254"/>
      <c r="E7" s="254"/>
      <c r="F7" s="254"/>
      <c r="G7" s="255">
        <v>200</v>
      </c>
      <c r="I7" s="397"/>
      <c r="J7" s="359">
        <f>J8-O$34</f>
        <v>0.84999999999999987</v>
      </c>
      <c r="K7" s="364">
        <v>9.3806811748958694</v>
      </c>
      <c r="L7" s="365">
        <v>9.7909223061784019</v>
      </c>
      <c r="M7" s="365">
        <v>10.201163437461105</v>
      </c>
      <c r="N7" s="365">
        <v>10.611404568743694</v>
      </c>
      <c r="O7" s="366">
        <v>11.02164570002634</v>
      </c>
      <c r="P7" s="348"/>
      <c r="Q7" s="353"/>
      <c r="R7" s="353"/>
      <c r="S7" s="363"/>
      <c r="T7" s="342"/>
      <c r="U7" s="342"/>
      <c r="V7" s="341"/>
      <c r="W7" s="341"/>
      <c r="X7" s="341"/>
    </row>
    <row r="8" spans="2:27">
      <c r="B8" s="322" t="s">
        <v>219</v>
      </c>
      <c r="C8" s="331"/>
      <c r="D8" s="331"/>
      <c r="E8" s="332" t="s">
        <v>220</v>
      </c>
      <c r="F8" s="333">
        <v>1</v>
      </c>
      <c r="G8" s="203">
        <v>550</v>
      </c>
      <c r="I8" s="397"/>
      <c r="J8" s="359">
        <f>J9-O$34</f>
        <v>0.89999999999999991</v>
      </c>
      <c r="K8" s="364">
        <v>9.0750095642132464</v>
      </c>
      <c r="L8" s="365">
        <v>9.4855845416562374</v>
      </c>
      <c r="M8" s="365">
        <v>9.8961595190993421</v>
      </c>
      <c r="N8" s="365">
        <v>10.306734496542333</v>
      </c>
      <c r="O8" s="366">
        <v>10.717309473985381</v>
      </c>
      <c r="P8" s="348"/>
      <c r="Q8" s="353"/>
      <c r="R8" s="353"/>
      <c r="S8" s="363"/>
      <c r="T8" s="342"/>
      <c r="U8" s="342"/>
      <c r="V8" s="341"/>
      <c r="W8" s="341"/>
      <c r="X8" s="341"/>
    </row>
    <row r="9" spans="2:27" ht="15.5">
      <c r="B9" s="102" t="s">
        <v>1</v>
      </c>
      <c r="C9" s="107"/>
      <c r="D9" s="107"/>
      <c r="E9" s="107"/>
      <c r="F9" s="107"/>
      <c r="G9" s="323">
        <f>IF(F8=1,G8/(25*2.20462*90.7)/1000*100,IF(F8=2,G8,"Enter unit of Rumensin cost"))</f>
        <v>1.1002253591603168E-2</v>
      </c>
      <c r="I9" s="397"/>
      <c r="J9" s="359">
        <f>J10-O$34</f>
        <v>0.95</v>
      </c>
      <c r="K9" s="364">
        <v>8.7693379535306804</v>
      </c>
      <c r="L9" s="365">
        <v>9.1802467771340162</v>
      </c>
      <c r="M9" s="365">
        <v>9.5911556007375225</v>
      </c>
      <c r="N9" s="365">
        <v>10.002064424340972</v>
      </c>
      <c r="O9" s="366">
        <v>10.412973247944421</v>
      </c>
      <c r="P9" s="348"/>
      <c r="Q9" s="352"/>
      <c r="R9" s="353"/>
      <c r="S9" s="363"/>
      <c r="T9" s="342"/>
      <c r="U9" s="342"/>
      <c r="V9" s="341"/>
      <c r="W9" s="341"/>
      <c r="X9" s="341"/>
    </row>
    <row r="10" spans="2:27">
      <c r="B10" s="102" t="s">
        <v>161</v>
      </c>
      <c r="C10" s="107"/>
      <c r="D10" s="256"/>
      <c r="E10" s="256"/>
      <c r="F10" s="256"/>
      <c r="G10" s="257">
        <f>(C15*G7/2000-C17*G9/100)/C21</f>
        <v>0.1</v>
      </c>
      <c r="I10" s="398"/>
      <c r="J10" s="367">
        <v>1</v>
      </c>
      <c r="K10" s="368">
        <v>8.4636663428480574</v>
      </c>
      <c r="L10" s="369">
        <v>8.8749090126118517</v>
      </c>
      <c r="M10" s="369">
        <v>9.2861516823757597</v>
      </c>
      <c r="N10" s="369">
        <v>9.6973943521396109</v>
      </c>
      <c r="O10" s="370">
        <v>10.108637021903519</v>
      </c>
      <c r="P10" s="348"/>
      <c r="Q10" s="353"/>
      <c r="R10" s="353"/>
      <c r="S10" s="353"/>
      <c r="T10" s="341"/>
      <c r="U10" s="341"/>
      <c r="V10" s="341"/>
      <c r="W10" s="341"/>
      <c r="X10" s="341"/>
    </row>
    <row r="11" spans="2:27">
      <c r="B11" s="15" t="s">
        <v>78</v>
      </c>
      <c r="C11" s="95"/>
      <c r="D11" s="95"/>
      <c r="E11" s="95"/>
      <c r="F11" s="95"/>
      <c r="G11" s="251">
        <v>20000</v>
      </c>
      <c r="I11" s="353"/>
      <c r="J11" s="363"/>
      <c r="K11" s="371"/>
      <c r="L11" s="371"/>
      <c r="M11" s="371"/>
      <c r="N11" s="371"/>
      <c r="O11" s="371"/>
      <c r="P11" s="348"/>
      <c r="Q11" s="353"/>
      <c r="R11" s="353"/>
      <c r="S11" s="353"/>
      <c r="T11" s="341"/>
      <c r="U11" s="341"/>
      <c r="V11" s="341"/>
      <c r="W11" s="341"/>
      <c r="X11" s="341"/>
    </row>
    <row r="12" spans="2:27">
      <c r="C12" s="93"/>
      <c r="D12" s="96"/>
      <c r="E12" s="96"/>
      <c r="F12" s="96"/>
      <c r="G12" s="97"/>
      <c r="I12" s="353"/>
      <c r="J12" s="353" t="str">
        <f>"Each "&amp;FIXED((J10-J9)*100,1)&amp;"% discount in price = $"&amp;FIXED(O9-O10,2)&amp;"/hd"</f>
        <v>Each 5.0% discount in price = $0.30/hd</v>
      </c>
      <c r="K12" s="371"/>
      <c r="L12" s="371"/>
      <c r="M12" s="371"/>
      <c r="N12" s="371"/>
      <c r="O12" s="371"/>
      <c r="P12" s="348"/>
      <c r="Q12" s="353"/>
      <c r="R12" s="353"/>
      <c r="S12" s="353"/>
      <c r="T12" s="341"/>
      <c r="U12" s="341"/>
      <c r="V12" s="341"/>
      <c r="W12" s="341"/>
      <c r="X12" s="341"/>
    </row>
    <row r="13" spans="2:27">
      <c r="B13" s="98"/>
      <c r="C13" s="99" t="s">
        <v>17</v>
      </c>
      <c r="D13" s="420" t="s">
        <v>79</v>
      </c>
      <c r="E13" s="421"/>
      <c r="F13" s="421"/>
      <c r="G13" s="421"/>
      <c r="I13" s="372"/>
      <c r="J13" s="373" t="s">
        <v>237</v>
      </c>
      <c r="K13" s="374"/>
      <c r="L13" s="374"/>
      <c r="M13" s="374"/>
      <c r="N13" s="374"/>
      <c r="O13" s="375"/>
      <c r="Q13" s="353"/>
      <c r="R13" s="353"/>
      <c r="S13" s="353"/>
      <c r="T13" s="341"/>
      <c r="U13" s="341"/>
      <c r="V13" s="341"/>
      <c r="W13" s="341"/>
      <c r="X13" s="341"/>
    </row>
    <row r="14" spans="2:27">
      <c r="B14" s="258" t="s">
        <v>16</v>
      </c>
      <c r="C14" s="259">
        <v>0</v>
      </c>
      <c r="D14" s="260">
        <v>25</v>
      </c>
      <c r="E14" s="261">
        <v>30</v>
      </c>
      <c r="F14" s="261">
        <v>35</v>
      </c>
      <c r="G14" s="259">
        <v>40</v>
      </c>
      <c r="I14" s="372"/>
      <c r="J14" s="353" t="str">
        <f>"Rumensin = "&amp;FIXED(E14,0)&amp;" g/ton"</f>
        <v>Rumensin = 30 g/ton</v>
      </c>
      <c r="K14" s="374"/>
      <c r="L14" s="374"/>
      <c r="M14" s="374"/>
      <c r="N14" s="374"/>
      <c r="O14" s="374"/>
      <c r="Q14" s="353"/>
      <c r="R14" s="353"/>
      <c r="S14" s="353"/>
      <c r="T14" s="341"/>
      <c r="U14" s="341"/>
      <c r="V14" s="341"/>
      <c r="W14" s="341"/>
      <c r="X14" s="341"/>
    </row>
    <row r="15" spans="2:27">
      <c r="B15" s="3" t="s">
        <v>0</v>
      </c>
      <c r="C15" s="100">
        <f>G5</f>
        <v>22</v>
      </c>
      <c r="D15" s="101">
        <f>D16*$G6</f>
        <v>21.229373093897063</v>
      </c>
      <c r="E15" s="101">
        <f>E16*$G6</f>
        <v>21.075247712676479</v>
      </c>
      <c r="F15" s="101">
        <f>F16*$G6</f>
        <v>20.921122331455891</v>
      </c>
      <c r="G15" s="100">
        <f>G16*$G6</f>
        <v>20.766996950235306</v>
      </c>
      <c r="H15" s="376"/>
      <c r="I15" s="372"/>
      <c r="J15" s="374"/>
      <c r="K15" s="374"/>
      <c r="L15" s="374"/>
      <c r="M15" s="374"/>
      <c r="N15" s="374"/>
      <c r="O15" s="374"/>
      <c r="Q15" s="353"/>
      <c r="R15" s="353"/>
      <c r="S15" s="353"/>
      <c r="T15" s="341"/>
      <c r="U15" s="341"/>
      <c r="V15" s="341"/>
      <c r="W15" s="341"/>
      <c r="X15" s="341"/>
    </row>
    <row r="16" spans="2:27">
      <c r="B16" s="102" t="s">
        <v>81</v>
      </c>
      <c r="C16" s="103">
        <f>C15/$G6</f>
        <v>6.2857142857142856</v>
      </c>
      <c r="D16" s="104">
        <f>$C16-(D14-$C14)/10*$F105</f>
        <v>6.0655351696848756</v>
      </c>
      <c r="E16" s="104">
        <f>$C16-(E14-$C14)/10*$F105</f>
        <v>6.0214993464789943</v>
      </c>
      <c r="F16" s="104">
        <f>$C16-(F14-$C14)/10*$F105</f>
        <v>5.9774635232731121</v>
      </c>
      <c r="G16" s="103">
        <f>$C16-(G14-$C14)/10*$F105</f>
        <v>5.93342770006723</v>
      </c>
      <c r="I16" s="372"/>
      <c r="J16" s="374"/>
      <c r="K16" s="377"/>
      <c r="L16" s="377"/>
      <c r="M16" s="377"/>
      <c r="N16" s="377"/>
      <c r="O16" s="377"/>
      <c r="Q16" s="353"/>
      <c r="R16" s="353"/>
      <c r="S16" s="353"/>
      <c r="T16" s="341"/>
      <c r="U16" s="341"/>
      <c r="V16" s="341"/>
      <c r="W16" s="341"/>
      <c r="X16" s="341"/>
    </row>
    <row r="17" spans="2:25">
      <c r="B17" s="102" t="s">
        <v>2</v>
      </c>
      <c r="C17" s="105">
        <f>C14*1000/2000*C15</f>
        <v>0</v>
      </c>
      <c r="D17" s="106">
        <f t="shared" ref="D17" si="0">D14*1000/2000*D15</f>
        <v>265.36716367371326</v>
      </c>
      <c r="E17" s="106">
        <f t="shared" ref="E17:G17" si="1">E14*1000/2000*E15</f>
        <v>316.1287156901472</v>
      </c>
      <c r="F17" s="106">
        <f t="shared" ref="F17" si="2">F14*1000/2000*F15</f>
        <v>366.11964080047807</v>
      </c>
      <c r="G17" s="105">
        <f t="shared" si="1"/>
        <v>415.33993900470614</v>
      </c>
      <c r="I17" s="372"/>
      <c r="J17" s="372"/>
      <c r="K17" s="377"/>
      <c r="L17" s="377"/>
      <c r="M17" s="377"/>
      <c r="N17" s="377"/>
      <c r="O17" s="377"/>
      <c r="Q17" s="353"/>
      <c r="R17" s="353"/>
      <c r="S17" s="353"/>
      <c r="T17" s="341"/>
      <c r="U17" s="341"/>
      <c r="V17" s="341"/>
      <c r="W17" s="341"/>
      <c r="X17" s="341"/>
    </row>
    <row r="18" spans="2:25">
      <c r="B18" s="102" t="s">
        <v>12</v>
      </c>
      <c r="C18" s="107"/>
      <c r="D18" s="108">
        <f>D15/$C15-1</f>
        <v>-3.5028495731951659E-2</v>
      </c>
      <c r="E18" s="108">
        <f>E15/$C15-1</f>
        <v>-4.2034194878341924E-2</v>
      </c>
      <c r="F18" s="108">
        <f>F15/$C15-1</f>
        <v>-4.9039894024732189E-2</v>
      </c>
      <c r="G18" s="109">
        <f>G15/$C15-1</f>
        <v>-5.6045593171122454E-2</v>
      </c>
      <c r="I18" s="372"/>
      <c r="J18" s="372"/>
      <c r="K18" s="377"/>
      <c r="L18" s="377"/>
      <c r="M18" s="377"/>
      <c r="N18" s="377"/>
      <c r="O18" s="377"/>
      <c r="Q18" s="353"/>
      <c r="R18" s="353"/>
      <c r="S18" s="353"/>
      <c r="T18" s="341"/>
      <c r="U18" s="341"/>
      <c r="V18" s="341"/>
      <c r="W18" s="341"/>
      <c r="X18" s="341"/>
    </row>
    <row r="19" spans="2:25">
      <c r="C19" s="107"/>
      <c r="D19" s="107"/>
      <c r="E19" s="107"/>
      <c r="F19" s="107"/>
      <c r="G19" s="107"/>
      <c r="I19" s="372"/>
      <c r="J19" s="372"/>
      <c r="K19" s="377"/>
      <c r="L19" s="377"/>
      <c r="M19" s="377"/>
      <c r="N19" s="377"/>
      <c r="O19" s="377"/>
      <c r="Q19" s="353"/>
      <c r="R19" s="353"/>
      <c r="S19" s="353"/>
      <c r="T19" s="341"/>
      <c r="U19" s="341"/>
      <c r="V19" s="341"/>
      <c r="W19" s="341"/>
      <c r="X19" s="341"/>
    </row>
    <row r="20" spans="2:25">
      <c r="B20" s="102" t="s">
        <v>2</v>
      </c>
      <c r="C20" s="105">
        <f>C17</f>
        <v>0</v>
      </c>
      <c r="D20" s="106">
        <f t="shared" ref="D20" si="3">D17</f>
        <v>265.36716367371326</v>
      </c>
      <c r="E20" s="106">
        <f t="shared" ref="E20:G20" si="4">E17</f>
        <v>316.1287156901472</v>
      </c>
      <c r="F20" s="106">
        <f t="shared" ref="F20" si="5">F17</f>
        <v>366.11964080047807</v>
      </c>
      <c r="G20" s="105">
        <f t="shared" si="4"/>
        <v>415.33993900470614</v>
      </c>
      <c r="I20" s="372"/>
      <c r="J20" s="372"/>
      <c r="K20" s="372"/>
      <c r="L20" s="372"/>
      <c r="M20" s="372"/>
      <c r="N20" s="372"/>
      <c r="O20" s="372"/>
      <c r="Q20" s="378"/>
      <c r="R20" s="378"/>
      <c r="S20" s="348"/>
      <c r="T20" s="3"/>
      <c r="U20" s="3"/>
      <c r="V20" s="3"/>
      <c r="W20" s="3"/>
      <c r="X20" s="3"/>
    </row>
    <row r="21" spans="2:25" ht="15.5">
      <c r="B21" s="102" t="s">
        <v>13</v>
      </c>
      <c r="C21" s="103">
        <f>C15-C20/1000*0.00220462</f>
        <v>22</v>
      </c>
      <c r="D21" s="104">
        <f>D15-D20/1000*0.00220462</f>
        <v>21.228788060140683</v>
      </c>
      <c r="E21" s="104">
        <f>E15-E20/1000*0.00220462</f>
        <v>21.074550768987294</v>
      </c>
      <c r="F21" s="104">
        <f>F15-F20/1000*0.00220462</f>
        <v>20.920315176773389</v>
      </c>
      <c r="G21" s="103">
        <f>G15-G20/1000*0.00220462</f>
        <v>20.766081283498977</v>
      </c>
      <c r="I21" s="372"/>
      <c r="J21" s="372"/>
      <c r="K21" s="372"/>
      <c r="L21" s="372"/>
      <c r="M21" s="372"/>
      <c r="N21" s="372"/>
      <c r="O21" s="372"/>
      <c r="Q21" s="348"/>
      <c r="R21" s="348"/>
      <c r="S21" s="348"/>
      <c r="T21" s="3"/>
      <c r="U21" s="3"/>
      <c r="V21" s="3"/>
      <c r="W21" s="3"/>
      <c r="X21" s="3"/>
      <c r="Y21" s="73"/>
    </row>
    <row r="22" spans="2:25" ht="15.5">
      <c r="B22" s="102" t="s">
        <v>14</v>
      </c>
      <c r="C22" s="110">
        <f>C15*$G4</f>
        <v>3850</v>
      </c>
      <c r="D22" s="111">
        <f>D15*$G4</f>
        <v>3715.140291431986</v>
      </c>
      <c r="E22" s="111">
        <f>E15*$G4</f>
        <v>3688.168349718384</v>
      </c>
      <c r="F22" s="111">
        <f>F15*$G4</f>
        <v>3661.196408004781</v>
      </c>
      <c r="G22" s="110">
        <f>G15*$G4</f>
        <v>3634.2244662911785</v>
      </c>
      <c r="I22" s="350" t="str">
        <f>"Total Net Feed Savings, $/year -- Rumensin = "&amp;FIXED(G14,0)&amp;" g/ton"</f>
        <v>Total Net Feed Savings, $/year -- Rumensin = 40 g/ton</v>
      </c>
      <c r="J22" s="351"/>
      <c r="K22" s="351"/>
      <c r="L22" s="351"/>
      <c r="M22" s="351"/>
      <c r="N22" s="351"/>
      <c r="O22" s="351"/>
      <c r="P22" s="348"/>
      <c r="Q22" s="352"/>
      <c r="R22" s="353"/>
      <c r="S22" s="353"/>
      <c r="T22" s="341"/>
      <c r="U22" s="341"/>
      <c r="V22" s="341"/>
      <c r="W22" s="341"/>
      <c r="X22" s="341"/>
    </row>
    <row r="23" spans="2:25" ht="17">
      <c r="B23" s="102" t="s">
        <v>8</v>
      </c>
      <c r="C23" s="112">
        <f>C28/C15*2000</f>
        <v>200</v>
      </c>
      <c r="D23" s="113">
        <f>D28/D15*2000</f>
        <v>202.74505184790078</v>
      </c>
      <c r="E23" s="113">
        <f>E28/E15*2000</f>
        <v>203.29406221748096</v>
      </c>
      <c r="F23" s="113">
        <f>F28/F15*2000</f>
        <v>203.84307258706113</v>
      </c>
      <c r="G23" s="112">
        <f>G28/G15*2000</f>
        <v>204.39208295664127</v>
      </c>
      <c r="I23" s="353"/>
      <c r="J23" s="353"/>
      <c r="K23" s="355" t="s">
        <v>231</v>
      </c>
      <c r="L23" s="355"/>
      <c r="M23" s="355"/>
      <c r="N23" s="355"/>
      <c r="O23" s="355"/>
      <c r="P23" s="356"/>
      <c r="Q23" s="352"/>
      <c r="R23" s="353"/>
      <c r="S23" s="353"/>
      <c r="T23" s="341"/>
      <c r="U23" s="341"/>
      <c r="V23" s="341"/>
      <c r="W23" s="341"/>
      <c r="X23" s="341"/>
    </row>
    <row r="24" spans="2:25" ht="17">
      <c r="C24" s="114"/>
      <c r="D24" s="114"/>
      <c r="E24" s="114"/>
      <c r="F24" s="114"/>
      <c r="G24" s="114"/>
      <c r="I24" s="353"/>
      <c r="J24" s="357">
        <f>G33</f>
        <v>13.596645701379146</v>
      </c>
      <c r="K24" s="358">
        <f>L24-$O39</f>
        <v>0.89999999999999991</v>
      </c>
      <c r="L24" s="358">
        <f>M24-$O39</f>
        <v>0.92499999999999993</v>
      </c>
      <c r="M24" s="358">
        <f>N24-$O39</f>
        <v>0.95</v>
      </c>
      <c r="N24" s="358">
        <f>O24-$O39</f>
        <v>0.97499999999999998</v>
      </c>
      <c r="O24" s="358">
        <v>1</v>
      </c>
      <c r="P24" s="356"/>
      <c r="Q24" s="353"/>
      <c r="S24" s="353"/>
      <c r="T24" s="341"/>
      <c r="U24" s="341"/>
      <c r="V24" s="341"/>
      <c r="W24" s="341"/>
      <c r="X24" s="341"/>
    </row>
    <row r="25" spans="2:25" ht="17">
      <c r="B25" s="3" t="s">
        <v>4</v>
      </c>
      <c r="C25" s="115"/>
      <c r="D25" s="115"/>
      <c r="E25" s="115"/>
      <c r="F25" s="115"/>
      <c r="G25" s="115"/>
      <c r="I25" s="396" t="s">
        <v>232</v>
      </c>
      <c r="J25" s="359">
        <f>J26-O$34</f>
        <v>0.79999999999999982</v>
      </c>
      <c r="K25" s="360">
        <f t="dataTable" ref="K25:O29" dt2D="1" dtr="1" r1="D108" r2="D109" ca="1"/>
        <v>13.000387598128327</v>
      </c>
      <c r="L25" s="361">
        <v>13.549298715810551</v>
      </c>
      <c r="M25" s="361">
        <v>14.098209833492604</v>
      </c>
      <c r="N25" s="361">
        <v>14.647120951174713</v>
      </c>
      <c r="O25" s="362">
        <v>15.196032068856937</v>
      </c>
      <c r="P25" s="356"/>
      <c r="Q25" s="353"/>
      <c r="R25" s="353"/>
      <c r="S25" s="363"/>
      <c r="T25" s="342"/>
      <c r="U25" s="342"/>
      <c r="V25" s="341"/>
      <c r="W25" s="341"/>
      <c r="X25" s="341"/>
    </row>
    <row r="26" spans="2:25">
      <c r="B26" s="116" t="s">
        <v>3</v>
      </c>
      <c r="C26" s="112">
        <f>C21*$G10</f>
        <v>2.2000000000000002</v>
      </c>
      <c r="D26" s="113">
        <f>D21*$G10</f>
        <v>2.1228788060140684</v>
      </c>
      <c r="E26" s="113">
        <f>E21*$G10</f>
        <v>2.1074550768987295</v>
      </c>
      <c r="F26" s="113">
        <f>F21*$G10</f>
        <v>2.0920315176773392</v>
      </c>
      <c r="G26" s="112">
        <f>G21*$G10</f>
        <v>2.0766081283498976</v>
      </c>
      <c r="I26" s="397"/>
      <c r="J26" s="359">
        <f>J27-O$34</f>
        <v>0.84999999999999987</v>
      </c>
      <c r="K26" s="364">
        <v>12.59816698911817</v>
      </c>
      <c r="L26" s="365">
        <v>13.14767161108557</v>
      </c>
      <c r="M26" s="365">
        <v>13.697176233052801</v>
      </c>
      <c r="N26" s="365">
        <v>14.246680855020088</v>
      </c>
      <c r="O26" s="366">
        <v>14.796185476987489</v>
      </c>
      <c r="P26" s="348"/>
      <c r="Q26" s="353"/>
      <c r="R26" s="353"/>
      <c r="S26" s="363"/>
      <c r="T26" s="342"/>
      <c r="U26" s="342"/>
      <c r="V26" s="341"/>
      <c r="W26" s="341"/>
      <c r="X26" s="341"/>
    </row>
    <row r="27" spans="2:25">
      <c r="B27" s="116" t="s">
        <v>5</v>
      </c>
      <c r="C27" s="113">
        <f>C20*$G9/100*$D109</f>
        <v>0</v>
      </c>
      <c r="D27" s="113">
        <f>D20*$G9/100*$D109</f>
        <v>2.9196368296226575E-2</v>
      </c>
      <c r="E27" s="113">
        <f>E20*$G9/100*$D109</f>
        <v>3.4781282976108184E-2</v>
      </c>
      <c r="F27" s="113">
        <f>F20*$G9/100*$D109</f>
        <v>4.0281411329535215E-2</v>
      </c>
      <c r="G27" s="306">
        <f>G20*$G9/100*$D109</f>
        <v>4.5696753356507684E-2</v>
      </c>
      <c r="I27" s="397"/>
      <c r="J27" s="359">
        <f>J28-O$34</f>
        <v>0.89999999999999991</v>
      </c>
      <c r="K27" s="364">
        <v>12.195946380108012</v>
      </c>
      <c r="L27" s="365">
        <v>12.746044506360533</v>
      </c>
      <c r="M27" s="365">
        <v>13.296142632612998</v>
      </c>
      <c r="N27" s="365">
        <v>13.846240758865463</v>
      </c>
      <c r="O27" s="366">
        <v>14.396338885118041</v>
      </c>
      <c r="P27" s="348"/>
      <c r="Q27" s="353"/>
      <c r="R27" s="353"/>
      <c r="S27" s="363"/>
      <c r="T27" s="342"/>
      <c r="U27" s="342"/>
      <c r="V27" s="341"/>
      <c r="W27" s="341"/>
      <c r="X27" s="341"/>
    </row>
    <row r="28" spans="2:25" ht="15.5">
      <c r="B28" s="116" t="s">
        <v>6</v>
      </c>
      <c r="C28" s="112">
        <f>C26+C27</f>
        <v>2.2000000000000002</v>
      </c>
      <c r="D28" s="113">
        <f>D26+D27</f>
        <v>2.152075174310295</v>
      </c>
      <c r="E28" s="113">
        <f>E26+E27</f>
        <v>2.1422363598748375</v>
      </c>
      <c r="F28" s="113">
        <f>F26+F27</f>
        <v>2.1323129290068743</v>
      </c>
      <c r="G28" s="112">
        <f>G26+G27</f>
        <v>2.1223048817064054</v>
      </c>
      <c r="I28" s="397"/>
      <c r="J28" s="359">
        <f>J29-O$34</f>
        <v>0.95</v>
      </c>
      <c r="K28" s="364">
        <v>11.793725771097854</v>
      </c>
      <c r="L28" s="365">
        <v>12.344417401635553</v>
      </c>
      <c r="M28" s="365">
        <v>12.895109032173195</v>
      </c>
      <c r="N28" s="365">
        <v>13.445800662710838</v>
      </c>
      <c r="O28" s="366">
        <v>13.996492293248593</v>
      </c>
      <c r="P28" s="348"/>
      <c r="Q28" s="352"/>
      <c r="R28" s="353"/>
      <c r="S28" s="363"/>
      <c r="T28" s="342"/>
      <c r="U28" s="342"/>
      <c r="V28" s="341"/>
      <c r="W28" s="341"/>
      <c r="X28" s="341"/>
    </row>
    <row r="29" spans="2:25">
      <c r="B29" s="3" t="s">
        <v>7</v>
      </c>
      <c r="C29" s="107"/>
      <c r="D29" s="107"/>
      <c r="E29" s="107"/>
      <c r="F29" s="107"/>
      <c r="G29" s="107"/>
      <c r="I29" s="398"/>
      <c r="J29" s="367">
        <v>1</v>
      </c>
      <c r="K29" s="368">
        <v>11.391505162087697</v>
      </c>
      <c r="L29" s="369">
        <v>11.942790296910573</v>
      </c>
      <c r="M29" s="369">
        <v>12.494075431733393</v>
      </c>
      <c r="N29" s="369">
        <v>13.045360566556212</v>
      </c>
      <c r="O29" s="370">
        <v>13.596645701379146</v>
      </c>
      <c r="P29" s="348"/>
      <c r="Q29" s="353"/>
      <c r="R29" s="353"/>
      <c r="S29" s="353"/>
      <c r="T29" s="341"/>
      <c r="U29" s="341"/>
      <c r="V29" s="341"/>
      <c r="W29" s="341"/>
      <c r="X29" s="341"/>
    </row>
    <row r="30" spans="2:25">
      <c r="B30" s="116" t="s">
        <v>3</v>
      </c>
      <c r="C30" s="112">
        <f>C26*$G4</f>
        <v>385.00000000000006</v>
      </c>
      <c r="D30" s="113">
        <f>D26*$G4</f>
        <v>371.50379105246196</v>
      </c>
      <c r="E30" s="113">
        <f>E26*$G4</f>
        <v>368.80463845727763</v>
      </c>
      <c r="F30" s="113">
        <f>F26*$G4</f>
        <v>366.10551559353434</v>
      </c>
      <c r="G30" s="112">
        <f>G26*$G4</f>
        <v>363.40642246123207</v>
      </c>
      <c r="I30" s="353"/>
      <c r="J30" s="363"/>
      <c r="K30" s="371"/>
      <c r="L30" s="371"/>
      <c r="M30" s="371"/>
      <c r="N30" s="371"/>
      <c r="O30" s="371"/>
      <c r="P30" s="348"/>
      <c r="Q30" s="353"/>
      <c r="R30" s="353"/>
      <c r="S30" s="353"/>
      <c r="T30" s="341"/>
      <c r="U30" s="341"/>
      <c r="V30" s="341"/>
      <c r="W30" s="341"/>
      <c r="X30" s="341"/>
    </row>
    <row r="31" spans="2:25">
      <c r="B31" s="116" t="s">
        <v>5</v>
      </c>
      <c r="C31" s="112">
        <f>C27*$G4</f>
        <v>0</v>
      </c>
      <c r="D31" s="113">
        <f>D27*$G4</f>
        <v>5.1093644518396504</v>
      </c>
      <c r="E31" s="113">
        <f>E27*$G4</f>
        <v>6.0867245208189322</v>
      </c>
      <c r="F31" s="113">
        <f>F27*$G4</f>
        <v>7.049246982668663</v>
      </c>
      <c r="G31" s="112">
        <f>G27*$G4</f>
        <v>7.9969318373888445</v>
      </c>
      <c r="I31" s="353"/>
      <c r="J31" s="353" t="str">
        <f>"Each "&amp;FIXED((J29-J28)*100,1)&amp;"% discount in price = $"&amp;FIXED(O28-O29,2)&amp;"/hd"</f>
        <v>Each 5.0% discount in price = $0.40/hd</v>
      </c>
      <c r="K31" s="371"/>
      <c r="L31" s="371"/>
      <c r="M31" s="371"/>
      <c r="N31" s="371"/>
      <c r="O31" s="371"/>
      <c r="P31" s="348"/>
      <c r="Q31" s="353"/>
      <c r="R31" s="353"/>
      <c r="S31" s="353"/>
      <c r="T31" s="341"/>
      <c r="U31" s="341"/>
      <c r="V31" s="341"/>
      <c r="W31" s="341"/>
      <c r="X31" s="341"/>
    </row>
    <row r="32" spans="2:25">
      <c r="B32" s="117" t="s">
        <v>6</v>
      </c>
      <c r="C32" s="118">
        <f>C30+C31</f>
        <v>385.00000000000006</v>
      </c>
      <c r="D32" s="119">
        <f>D30+D31</f>
        <v>376.61315550430163</v>
      </c>
      <c r="E32" s="119">
        <f>E30+E31</f>
        <v>374.89136297809654</v>
      </c>
      <c r="F32" s="119">
        <f>F30+F31</f>
        <v>373.15476257620298</v>
      </c>
      <c r="G32" s="118">
        <f>G30+G31</f>
        <v>371.40335429862091</v>
      </c>
      <c r="I32" s="372"/>
      <c r="J32" s="373" t="s">
        <v>237</v>
      </c>
      <c r="K32" s="374"/>
      <c r="L32" s="374"/>
      <c r="M32" s="374"/>
      <c r="N32" s="374"/>
      <c r="O32" s="375"/>
      <c r="Q32" s="353"/>
      <c r="R32" s="353"/>
      <c r="S32" s="353"/>
      <c r="T32" s="341"/>
      <c r="U32" s="341"/>
      <c r="V32" s="341"/>
      <c r="W32" s="341"/>
      <c r="X32" s="341"/>
    </row>
    <row r="33" spans="2:24">
      <c r="B33" s="120" t="s">
        <v>20</v>
      </c>
      <c r="C33" s="121" t="s">
        <v>17</v>
      </c>
      <c r="D33" s="122">
        <f>$C32-D32</f>
        <v>8.3868444956984263</v>
      </c>
      <c r="E33" s="122">
        <f>$C32-E32</f>
        <v>10.108637021903519</v>
      </c>
      <c r="F33" s="122">
        <f>$C32-F32</f>
        <v>11.845237423797073</v>
      </c>
      <c r="G33" s="123">
        <f>$C32-G32</f>
        <v>13.596645701379146</v>
      </c>
      <c r="I33" s="372"/>
      <c r="J33" s="353" t="str">
        <f>"Rumensin = "&amp;FIXED(G14,0)&amp;" g/ton"</f>
        <v>Rumensin = 40 g/ton</v>
      </c>
      <c r="K33" s="374"/>
      <c r="L33" s="374"/>
      <c r="M33" s="374"/>
      <c r="N33" s="374"/>
      <c r="O33" s="374"/>
      <c r="P33" s="348"/>
      <c r="Q33" s="353"/>
      <c r="R33" s="353"/>
      <c r="S33" s="353"/>
      <c r="T33" s="341"/>
      <c r="U33" s="341"/>
      <c r="V33" s="341"/>
      <c r="W33" s="341"/>
      <c r="X33" s="341"/>
    </row>
    <row r="34" spans="2:24" ht="15.5">
      <c r="B34" s="124" t="s">
        <v>80</v>
      </c>
      <c r="C34" s="125" t="s">
        <v>17</v>
      </c>
      <c r="D34" s="126">
        <f>D33*$G$11</f>
        <v>167736.88991396854</v>
      </c>
      <c r="E34" s="126">
        <f>E33*$G$11</f>
        <v>202172.74043807038</v>
      </c>
      <c r="F34" s="126">
        <f>F33*$G$11</f>
        <v>236904.74847594145</v>
      </c>
      <c r="G34" s="127">
        <f>G33*$G$11</f>
        <v>271932.91402758291</v>
      </c>
      <c r="J34" s="352" t="s">
        <v>234</v>
      </c>
      <c r="K34" s="363"/>
      <c r="L34" s="363"/>
      <c r="M34" s="352"/>
      <c r="N34" s="363"/>
      <c r="O34" s="379">
        <v>0.05</v>
      </c>
      <c r="Q34" s="353"/>
      <c r="R34" s="353"/>
      <c r="S34" s="353"/>
      <c r="T34" s="341"/>
      <c r="U34" s="341"/>
      <c r="V34" s="341"/>
      <c r="W34" s="341"/>
      <c r="X34" s="341"/>
    </row>
    <row r="35" spans="2:24" ht="15" thickBot="1">
      <c r="B35" s="128" t="str">
        <f>"ROI (vs "&amp;C14&amp;" g/ton)*"</f>
        <v>ROI (vs 0 g/ton)*</v>
      </c>
      <c r="C35" s="129"/>
      <c r="D35" s="130">
        <f>IFERROR(($C30-D30)/(D31-$C31),"n/a")</f>
        <v>2.6414653084061603</v>
      </c>
      <c r="E35" s="130">
        <f>IFERROR(($C30-E30)/(E31-$C31),"n/a")</f>
        <v>2.6607679528337576</v>
      </c>
      <c r="F35" s="130">
        <f>IFERROR(($C30-F30)/(F31-$C31),"n/a")</f>
        <v>2.680355001451908</v>
      </c>
      <c r="G35" s="131">
        <f>IFERROR(($C30-G30)/(G31-$C31),"n/a")</f>
        <v>2.7002327865056199</v>
      </c>
      <c r="Q35" s="353"/>
      <c r="R35" s="353"/>
      <c r="S35" s="353"/>
      <c r="T35" s="341"/>
      <c r="U35" s="341"/>
      <c r="V35" s="341"/>
      <c r="W35" s="341"/>
      <c r="X35" s="341"/>
    </row>
    <row r="36" spans="2:24">
      <c r="B36" s="33" t="s">
        <v>15</v>
      </c>
      <c r="Q36" s="353"/>
      <c r="R36" s="353"/>
      <c r="S36" s="353"/>
      <c r="T36" s="341"/>
      <c r="U36" s="341"/>
      <c r="V36" s="341"/>
      <c r="W36" s="341"/>
      <c r="X36" s="341"/>
    </row>
    <row r="37" spans="2:24">
      <c r="E37" s="35"/>
      <c r="F37" s="35"/>
      <c r="Q37" s="353"/>
      <c r="R37" s="353"/>
      <c r="S37" s="353"/>
      <c r="T37" s="341"/>
      <c r="U37" s="341"/>
      <c r="V37" s="341"/>
      <c r="W37" s="341"/>
      <c r="X37" s="341"/>
    </row>
    <row r="38" spans="2:24">
      <c r="E38" s="35"/>
      <c r="F38" s="35"/>
      <c r="Q38" s="353"/>
      <c r="R38" s="353"/>
      <c r="S38" s="353"/>
      <c r="T38" s="341"/>
      <c r="U38" s="341"/>
      <c r="V38" s="341"/>
      <c r="W38" s="341"/>
      <c r="X38" s="341"/>
    </row>
    <row r="39" spans="2:24" ht="15" customHeight="1">
      <c r="B39" s="132" t="s">
        <v>76</v>
      </c>
      <c r="E39" s="35"/>
      <c r="I39" s="380" t="s">
        <v>233</v>
      </c>
      <c r="J39" s="381"/>
      <c r="K39" s="382"/>
      <c r="L39" s="381"/>
      <c r="M39" s="380"/>
      <c r="N39" s="381"/>
      <c r="O39" s="345">
        <v>2.5000000000000001E-2</v>
      </c>
      <c r="Q39" s="378"/>
      <c r="R39" s="378"/>
      <c r="S39" s="348"/>
      <c r="T39" s="3"/>
      <c r="U39" s="3"/>
      <c r="V39" s="3"/>
      <c r="W39" s="3"/>
      <c r="X39" s="3"/>
    </row>
    <row r="40" spans="2:24" ht="35.15" customHeight="1">
      <c r="B40" s="418" t="s">
        <v>242</v>
      </c>
      <c r="C40" s="418"/>
      <c r="D40" s="418"/>
      <c r="E40" s="418"/>
      <c r="F40" s="418"/>
      <c r="G40" s="418"/>
    </row>
    <row r="41" spans="2:24" ht="35.15" customHeight="1">
      <c r="B41" s="419" t="s">
        <v>243</v>
      </c>
      <c r="C41" s="419"/>
      <c r="D41" s="419"/>
      <c r="E41" s="419"/>
      <c r="F41" s="419"/>
      <c r="G41" s="419"/>
    </row>
    <row r="42" spans="2:24" ht="35.15" customHeight="1">
      <c r="B42" s="419" t="s">
        <v>75</v>
      </c>
      <c r="C42" s="419"/>
      <c r="D42" s="419"/>
      <c r="E42" s="419"/>
      <c r="F42" s="419"/>
      <c r="G42" s="419"/>
    </row>
    <row r="44" spans="2:24">
      <c r="B44" s="415" t="s">
        <v>72</v>
      </c>
      <c r="C44" s="415"/>
      <c r="D44" s="415"/>
      <c r="E44" s="415"/>
      <c r="F44" s="415"/>
      <c r="G44" s="415"/>
    </row>
    <row r="45" spans="2:24">
      <c r="B45" s="416"/>
      <c r="C45" s="416"/>
      <c r="D45" s="416"/>
      <c r="E45" s="416"/>
      <c r="F45" s="416"/>
      <c r="G45" s="416"/>
    </row>
    <row r="46" spans="2:24">
      <c r="B46" s="417"/>
      <c r="C46" s="417"/>
      <c r="D46" s="417"/>
      <c r="E46" s="417"/>
      <c r="F46" s="417"/>
      <c r="G46" s="417"/>
    </row>
    <row r="47" spans="2:24">
      <c r="B47" s="185" t="s">
        <v>86</v>
      </c>
      <c r="E47" s="34"/>
      <c r="F47" s="35"/>
      <c r="G47" s="184"/>
      <c r="H47" s="373"/>
    </row>
    <row r="48" spans="2:24">
      <c r="B48" s="185" t="s">
        <v>87</v>
      </c>
      <c r="E48" s="34"/>
      <c r="F48" s="35"/>
      <c r="G48" s="184"/>
      <c r="H48" s="373"/>
    </row>
    <row r="50" spans="2:7">
      <c r="B50" s="36" t="s">
        <v>22</v>
      </c>
      <c r="C50" s="37"/>
      <c r="D50" s="37"/>
      <c r="E50" s="37"/>
      <c r="F50" s="37"/>
      <c r="G50" s="38"/>
    </row>
    <row r="51" spans="2:7">
      <c r="B51" s="133"/>
      <c r="C51" s="40"/>
      <c r="D51" s="40"/>
      <c r="E51" s="40"/>
      <c r="F51" s="40"/>
      <c r="G51" s="41"/>
    </row>
    <row r="52" spans="2:7">
      <c r="B52" s="133" t="s">
        <v>45</v>
      </c>
      <c r="C52" s="40"/>
      <c r="D52" s="40"/>
      <c r="E52" s="40"/>
      <c r="F52" s="40"/>
      <c r="G52" s="41"/>
    </row>
    <row r="53" spans="2:7">
      <c r="B53" s="133" t="s">
        <v>44</v>
      </c>
      <c r="C53" s="40"/>
      <c r="D53" s="40"/>
      <c r="E53" s="40"/>
      <c r="F53" s="40"/>
      <c r="G53" s="41"/>
    </row>
    <row r="54" spans="2:7">
      <c r="B54" s="133"/>
      <c r="C54" s="40"/>
      <c r="D54" s="40"/>
      <c r="E54" s="40"/>
      <c r="F54" s="40"/>
      <c r="G54" s="41"/>
    </row>
    <row r="55" spans="2:7">
      <c r="B55" s="133" t="s">
        <v>21</v>
      </c>
      <c r="C55" s="40"/>
      <c r="D55" s="40"/>
      <c r="E55" s="40"/>
      <c r="F55" s="40"/>
      <c r="G55" s="41"/>
    </row>
    <row r="56" spans="2:7">
      <c r="B56" s="133" t="s">
        <v>47</v>
      </c>
      <c r="C56" s="40"/>
      <c r="D56" s="40"/>
      <c r="E56" s="40"/>
      <c r="F56" s="40"/>
      <c r="G56" s="41"/>
    </row>
    <row r="57" spans="2:7">
      <c r="B57" s="134" t="s">
        <v>46</v>
      </c>
      <c r="C57" s="135"/>
      <c r="D57" s="135"/>
      <c r="E57" s="135"/>
      <c r="F57" s="135"/>
      <c r="G57" s="136"/>
    </row>
    <row r="101" spans="1:10">
      <c r="A101" s="137"/>
      <c r="B101" s="137"/>
      <c r="C101" s="137"/>
      <c r="D101" s="137"/>
      <c r="E101" s="137"/>
      <c r="F101" s="137"/>
      <c r="G101" s="137"/>
      <c r="H101" s="383"/>
      <c r="I101" s="383"/>
      <c r="J101" s="383"/>
    </row>
    <row r="103" spans="1:10">
      <c r="B103" s="132" t="s">
        <v>228</v>
      </c>
    </row>
    <row r="104" spans="1:10">
      <c r="B104" s="142" t="s">
        <v>9</v>
      </c>
      <c r="C104" s="143">
        <v>1</v>
      </c>
      <c r="D104" s="155">
        <v>0.05</v>
      </c>
      <c r="E104" s="144"/>
      <c r="F104" s="144" t="s">
        <v>82</v>
      </c>
      <c r="G104" s="145"/>
    </row>
    <row r="105" spans="1:10">
      <c r="B105" s="146" t="s">
        <v>10</v>
      </c>
      <c r="C105" s="147">
        <v>2</v>
      </c>
      <c r="D105" s="156">
        <v>7.0000000000000007E-2</v>
      </c>
      <c r="E105" s="148"/>
      <c r="F105" s="149">
        <f>VLOOKUP(G3,C104:D106,2,0)*D108</f>
        <v>8.8071646411763835E-2</v>
      </c>
      <c r="G105" s="150"/>
    </row>
    <row r="106" spans="1:10">
      <c r="B106" s="151" t="s">
        <v>11</v>
      </c>
      <c r="C106" s="152">
        <v>3</v>
      </c>
      <c r="D106" s="157">
        <v>8.8071646411763835E-2</v>
      </c>
      <c r="E106" s="153"/>
      <c r="F106" s="153"/>
      <c r="G106" s="154"/>
    </row>
    <row r="108" spans="1:10">
      <c r="D108" s="328">
        <v>1</v>
      </c>
      <c r="E108" s="329" t="s">
        <v>218</v>
      </c>
      <c r="F108" s="330"/>
      <c r="G108" s="330"/>
    </row>
    <row r="109" spans="1:10">
      <c r="D109" s="344">
        <v>1</v>
      </c>
      <c r="E109" s="329" t="s">
        <v>235</v>
      </c>
      <c r="H109" s="348"/>
    </row>
    <row r="110" spans="1:10">
      <c r="H110" s="348"/>
    </row>
    <row r="111" spans="1:10">
      <c r="H111" s="348"/>
    </row>
    <row r="112" spans="1:10">
      <c r="H112" s="348"/>
    </row>
    <row r="113" spans="8:8">
      <c r="H113" s="348"/>
    </row>
    <row r="114" spans="8:8">
      <c r="H114" s="348"/>
    </row>
    <row r="115" spans="8:8">
      <c r="H115" s="348"/>
    </row>
    <row r="116" spans="8:8">
      <c r="H116" s="348"/>
    </row>
  </sheetData>
  <sheetProtection password="9F29" sheet="1" objects="1" scenarios="1"/>
  <mergeCells count="7">
    <mergeCell ref="I6:I10"/>
    <mergeCell ref="I25:I29"/>
    <mergeCell ref="B44:G46"/>
    <mergeCell ref="B40:G40"/>
    <mergeCell ref="B41:G41"/>
    <mergeCell ref="B42:G42"/>
    <mergeCell ref="D13:G13"/>
  </mergeCells>
  <dataValidations disablePrompts="1" count="6">
    <dataValidation type="whole" allowBlank="1" showInputMessage="1" showErrorMessage="1" error="This level is off label -- entered value must be between 5-40 g/ton." sqref="D14:G14">
      <formula1>5</formula1>
      <formula2>40</formula2>
    </dataValidation>
    <dataValidation type="decimal" errorStyle="warning" allowBlank="1" showInputMessage="1" showErrorMessage="1" error="Are you sure this value is correct?" sqref="G5">
      <formula1>10</formula1>
      <formula2>40</formula2>
    </dataValidation>
    <dataValidation type="decimal" errorStyle="warning" allowBlank="1" showInputMessage="1" showErrorMessage="1" error="Are you sure this value is correct?" sqref="G4">
      <formula1>60</formula1>
      <formula2>360</formula2>
    </dataValidation>
    <dataValidation type="decimal" errorStyle="warning" allowBlank="1" showInputMessage="1" showErrorMessage="1" error="Are you sure this value is correct?" sqref="G6 F8">
      <formula1>1</formula1>
      <formula2>6</formula2>
    </dataValidation>
    <dataValidation type="decimal" errorStyle="warning" allowBlank="1" showInputMessage="1" showErrorMessage="1" error="Are you sure this value is correct?" sqref="G7">
      <formula1>80</formula1>
      <formula2>350</formula2>
    </dataValidation>
    <dataValidation type="decimal" errorStyle="warning" allowBlank="1" showInputMessage="1" showErrorMessage="1" error="Are you sure that value is correct?" sqref="G9">
      <formula1>0.01</formula1>
      <formula2>0.02</formula2>
    </dataValidation>
  </dataValidations>
  <pageMargins left="0.7" right="0.7" top="0.75" bottom="0.5" header="0.3" footer="0.3"/>
  <pageSetup scale="94" orientation="portrait" r:id="rId1"/>
  <ignoredErrors>
    <ignoredError sqref="G9" unlockedFormula="1"/>
  </ignoredErrors>
  <drawing r:id="rId2"/>
  <legacyDrawing r:id="rId3"/>
</worksheet>
</file>

<file path=xl/worksheets/sheet4.xml><?xml version="1.0" encoding="utf-8"?>
<worksheet xmlns="http://schemas.openxmlformats.org/spreadsheetml/2006/main" xmlns:r="http://schemas.openxmlformats.org/officeDocument/2006/relationships">
  <sheetPr published="0">
    <pageSetUpPr fitToPage="1"/>
  </sheetPr>
  <dimension ref="B53:I58"/>
  <sheetViews>
    <sheetView showGridLines="0" zoomScale="90" zoomScaleNormal="90" workbookViewId="0"/>
  </sheetViews>
  <sheetFormatPr defaultRowHeight="14.5"/>
  <cols>
    <col min="1" max="1" width="6.6328125" customWidth="1"/>
    <col min="2" max="2" width="9.54296875" bestFit="1" customWidth="1"/>
    <col min="14" max="14" width="6.6328125" customWidth="1"/>
  </cols>
  <sheetData>
    <row r="53" spans="2:9">
      <c r="B53" s="182" t="s">
        <v>84</v>
      </c>
    </row>
    <row r="54" spans="2:9">
      <c r="B54" s="183" t="s">
        <v>85</v>
      </c>
      <c r="G54" s="1"/>
      <c r="H54" s="1"/>
      <c r="I54" s="1"/>
    </row>
    <row r="55" spans="2:9">
      <c r="G55" s="1"/>
      <c r="H55" s="1"/>
      <c r="I55" s="1"/>
    </row>
    <row r="56" spans="2:9">
      <c r="G56" s="1"/>
      <c r="H56" s="1"/>
      <c r="I56" s="1"/>
    </row>
    <row r="57" spans="2:9">
      <c r="G57" s="1"/>
      <c r="H57" s="1"/>
      <c r="I57" s="1"/>
    </row>
    <row r="58" spans="2:9">
      <c r="G58" s="1"/>
      <c r="H58" s="1"/>
      <c r="I58" s="1"/>
    </row>
  </sheetData>
  <sheetProtection password="9F29" sheet="1" objects="1" scenarios="1"/>
  <pageMargins left="0.1" right="0.1" top="0.67" bottom="0.5" header="0.3" footer="0.3"/>
  <pageSetup scale="95" orientation="portrait" r:id="rId1"/>
  <drawing r:id="rId2"/>
</worksheet>
</file>

<file path=xl/worksheets/sheet5.xml><?xml version="1.0" encoding="utf-8"?>
<worksheet xmlns="http://schemas.openxmlformats.org/spreadsheetml/2006/main" xmlns:r="http://schemas.openxmlformats.org/officeDocument/2006/relationships">
  <sheetPr published="0"/>
  <dimension ref="A1:AL354"/>
  <sheetViews>
    <sheetView showGridLines="0" workbookViewId="0"/>
  </sheetViews>
  <sheetFormatPr defaultColWidth="9.08984375" defaultRowHeight="14.5"/>
  <cols>
    <col min="1" max="1" width="9.08984375" style="267"/>
    <col min="2" max="2" width="28.6328125" style="267" customWidth="1"/>
    <col min="3" max="5" width="11.6328125" style="267" customWidth="1"/>
    <col min="6" max="6" width="9.08984375" style="267"/>
    <col min="7" max="16" width="10.6328125" style="267" customWidth="1"/>
    <col min="17" max="18" width="9.08984375" style="267" customWidth="1"/>
    <col min="19" max="22" width="10.6328125" style="3" customWidth="1"/>
    <col min="23" max="26" width="9.08984375" style="267" customWidth="1"/>
    <col min="27" max="27" width="9.08984375" style="267"/>
    <col min="28" max="29" width="9.08984375" style="3"/>
    <col min="30" max="35" width="10.6328125" style="3" customWidth="1"/>
    <col min="36" max="36" width="9.08984375" style="3"/>
    <col min="37" max="16384" width="9.08984375" style="267"/>
  </cols>
  <sheetData>
    <row r="1" spans="1:38">
      <c r="A1" s="3"/>
      <c r="B1" s="3"/>
      <c r="C1" s="3"/>
      <c r="D1" s="3"/>
      <c r="E1" s="3"/>
      <c r="F1" s="3"/>
      <c r="G1" s="3"/>
      <c r="H1" s="3"/>
      <c r="I1" s="3"/>
      <c r="J1" s="3"/>
      <c r="K1" s="3"/>
      <c r="L1" s="3"/>
      <c r="M1" s="3"/>
      <c r="N1" s="3"/>
      <c r="O1" s="3"/>
      <c r="P1" s="3"/>
      <c r="Q1" s="3"/>
      <c r="R1" s="3"/>
      <c r="W1" s="3"/>
    </row>
    <row r="2" spans="1:38" ht="16" thickBot="1">
      <c r="A2" s="3"/>
      <c r="B2" s="318" t="s">
        <v>177</v>
      </c>
      <c r="C2" s="270"/>
      <c r="D2" s="270"/>
      <c r="E2" s="270"/>
      <c r="F2" s="270"/>
      <c r="G2" s="270"/>
      <c r="H2" s="270"/>
      <c r="I2" s="270"/>
      <c r="J2" s="270"/>
      <c r="K2" s="270"/>
      <c r="L2" s="270"/>
      <c r="M2" s="270"/>
      <c r="N2" s="270"/>
      <c r="O2" s="320" t="str">
        <f>'Cow-calf'!J2</f>
        <v>Version:  3.25.20</v>
      </c>
      <c r="P2" s="3"/>
      <c r="Q2" s="3"/>
      <c r="R2" s="3"/>
      <c r="S2" s="70" t="s">
        <v>211</v>
      </c>
      <c r="T2" s="270"/>
      <c r="U2" s="270"/>
      <c r="V2" s="270"/>
      <c r="W2" s="3"/>
      <c r="AB2" s="3" t="s">
        <v>186</v>
      </c>
      <c r="AD2" s="168" t="s">
        <v>27</v>
      </c>
      <c r="AE2" s="168" t="s">
        <v>187</v>
      </c>
      <c r="AF2" s="168" t="s">
        <v>188</v>
      </c>
      <c r="AG2" s="168" t="s">
        <v>27</v>
      </c>
      <c r="AH2" s="168" t="s">
        <v>187</v>
      </c>
      <c r="AI2" s="168" t="s">
        <v>188</v>
      </c>
    </row>
    <row r="3" spans="1:38">
      <c r="A3" s="3"/>
      <c r="B3" s="3"/>
      <c r="C3" s="3"/>
      <c r="D3" s="3"/>
      <c r="E3" s="3"/>
      <c r="F3" s="3"/>
      <c r="G3" s="3"/>
      <c r="H3" s="3"/>
      <c r="I3" s="3"/>
      <c r="J3" s="3"/>
      <c r="K3" s="3"/>
      <c r="L3" s="3"/>
      <c r="M3" s="3"/>
      <c r="N3" s="3"/>
      <c r="O3" s="3"/>
      <c r="P3" s="3"/>
      <c r="Q3" s="3"/>
      <c r="R3" s="3"/>
      <c r="T3" s="168"/>
      <c r="U3" s="168"/>
      <c r="W3" s="3"/>
      <c r="AB3" s="3" t="s">
        <v>189</v>
      </c>
      <c r="AD3" s="280">
        <f t="shared" ref="AD3:AI3" si="0">_xlfn.AGGREGATE(1,6,AD$9:AD$500)</f>
        <v>235.53322519420846</v>
      </c>
      <c r="AE3" s="281">
        <f t="shared" si="0"/>
        <v>-0.28693782107766408</v>
      </c>
      <c r="AF3" s="281">
        <f t="shared" si="0"/>
        <v>1.6077089098975278E-4</v>
      </c>
      <c r="AG3" s="280">
        <f t="shared" si="0"/>
        <v>197.3344540121652</v>
      </c>
      <c r="AH3" s="281">
        <f t="shared" si="0"/>
        <v>-0.22318252230261779</v>
      </c>
      <c r="AI3" s="281">
        <f t="shared" si="0"/>
        <v>1.3222476892726991E-4</v>
      </c>
      <c r="AK3" s="280">
        <f t="shared" ref="AK3:AL3" si="1">_xlfn.AGGREGATE(1,6,AK$9:AK$500)</f>
        <v>6.1858573692010088</v>
      </c>
      <c r="AL3" s="280">
        <f t="shared" si="1"/>
        <v>3.8067845804439746</v>
      </c>
    </row>
    <row r="4" spans="1:38" ht="15" thickBot="1">
      <c r="A4" s="3"/>
      <c r="B4" s="3"/>
      <c r="C4" s="168" t="s">
        <v>17</v>
      </c>
      <c r="D4" s="168" t="s">
        <v>172</v>
      </c>
      <c r="E4" s="168" t="s">
        <v>174</v>
      </c>
      <c r="F4" s="3"/>
      <c r="G4" s="3"/>
      <c r="H4" s="3"/>
      <c r="I4" s="3"/>
      <c r="J4" s="3"/>
      <c r="K4" s="3"/>
      <c r="L4" s="3"/>
      <c r="M4" s="3"/>
      <c r="N4" s="3"/>
      <c r="O4" s="3"/>
      <c r="P4" s="3"/>
      <c r="Q4" s="3"/>
      <c r="R4" s="3"/>
      <c r="S4" s="3" t="s">
        <v>229</v>
      </c>
      <c r="T4" s="282"/>
      <c r="U4" s="282"/>
      <c r="W4" s="3"/>
      <c r="AB4" s="3" t="s">
        <v>190</v>
      </c>
      <c r="AD4" s="280">
        <f t="shared" ref="AD4:AI4" si="2">_xlfn.AGGREGATE(5,6,AD$9:AD$500)</f>
        <v>47.898550643939402</v>
      </c>
      <c r="AE4" s="281">
        <f t="shared" si="2"/>
        <v>-1.2498745467725036</v>
      </c>
      <c r="AF4" s="281">
        <f t="shared" si="2"/>
        <v>-2.3960606060606022E-4</v>
      </c>
      <c r="AG4" s="280">
        <f t="shared" si="2"/>
        <v>45.930924107142943</v>
      </c>
      <c r="AH4" s="281">
        <f t="shared" si="2"/>
        <v>-1.4267547619047578</v>
      </c>
      <c r="AI4" s="281">
        <f t="shared" si="2"/>
        <v>-3.5416096364449597E-4</v>
      </c>
      <c r="AK4" s="267" t="str">
        <f>AK8&amp;" (Avg=$"&amp;FIXED(AK3,2)&amp;")"</f>
        <v>Steers (Avg=$6.19)</v>
      </c>
      <c r="AL4" s="267" t="str">
        <f>AL8&amp;" (Avg=$"&amp;FIXED(AL3,2)&amp;")"</f>
        <v>Heifers (Avg=$3.81)</v>
      </c>
    </row>
    <row r="5" spans="1:38">
      <c r="A5" s="3"/>
      <c r="B5" s="273" t="s">
        <v>203</v>
      </c>
      <c r="C5" s="288" t="s">
        <v>181</v>
      </c>
      <c r="D5" s="295" t="str">
        <f>C5</f>
        <v>Steer</v>
      </c>
      <c r="E5" s="269" t="s">
        <v>185</v>
      </c>
      <c r="F5" s="3"/>
      <c r="G5" s="3"/>
      <c r="H5" s="3" t="str">
        <f>"Price Slide for Feeder Cattle in Western KS ("&amp;FIXED(C12-25,0)&amp;" - "&amp;FIXED(C12+25,0)&amp;" lbs)"</f>
        <v>Price Slide for Feeder Cattle in Western KS (675 - 725 lbs)</v>
      </c>
      <c r="I5" s="3"/>
      <c r="J5" s="3"/>
      <c r="K5" s="3"/>
      <c r="L5" s="3"/>
      <c r="M5" s="3"/>
      <c r="N5" s="3"/>
      <c r="O5" s="3"/>
      <c r="P5" s="3"/>
      <c r="Q5" s="3"/>
      <c r="R5" s="3"/>
      <c r="S5" s="3" t="s">
        <v>230</v>
      </c>
      <c r="T5" s="283"/>
      <c r="U5" s="283"/>
      <c r="W5" s="3"/>
      <c r="AB5" s="3" t="s">
        <v>191</v>
      </c>
      <c r="AD5" s="280">
        <f t="shared" ref="AD5:AI5" si="3">_xlfn.AGGREGATE(4,6,AD$9:AD$500)</f>
        <v>736.65544128787872</v>
      </c>
      <c r="AE5" s="281">
        <f t="shared" si="3"/>
        <v>0.18335090909090862</v>
      </c>
      <c r="AF5" s="281">
        <f t="shared" si="3"/>
        <v>7.9456226428723051E-4</v>
      </c>
      <c r="AG5" s="280">
        <f t="shared" si="3"/>
        <v>730.17433035714146</v>
      </c>
      <c r="AH5" s="281">
        <f t="shared" si="3"/>
        <v>0.22736639559498775</v>
      </c>
      <c r="AI5" s="281">
        <f t="shared" si="3"/>
        <v>9.7573809523809234E-4</v>
      </c>
    </row>
    <row r="6" spans="1:38">
      <c r="A6" s="3"/>
      <c r="B6" s="102" t="s">
        <v>212</v>
      </c>
      <c r="C6" s="289">
        <v>500</v>
      </c>
      <c r="D6" s="296">
        <f>C6</f>
        <v>500</v>
      </c>
      <c r="E6" s="290">
        <f t="shared" ref="E6:E14" si="4">D6-C6</f>
        <v>0</v>
      </c>
      <c r="F6" s="3"/>
      <c r="G6" s="3"/>
      <c r="H6" s="3"/>
      <c r="I6" s="3"/>
      <c r="J6" s="3"/>
      <c r="K6" s="3"/>
      <c r="L6" s="3"/>
      <c r="M6" s="3"/>
      <c r="N6" s="3"/>
      <c r="O6" s="3"/>
      <c r="P6" s="3"/>
      <c r="Q6" s="3"/>
      <c r="R6" s="3"/>
      <c r="W6" s="3"/>
      <c r="AB6" s="3" t="s">
        <v>192</v>
      </c>
      <c r="AD6" s="284">
        <f t="shared" ref="AD6:AI6" si="5">COUNT(AD9:AD500)</f>
        <v>332</v>
      </c>
      <c r="AE6" s="284">
        <f t="shared" si="5"/>
        <v>332</v>
      </c>
      <c r="AF6" s="284">
        <f t="shared" si="5"/>
        <v>332</v>
      </c>
      <c r="AG6" s="284">
        <f t="shared" si="5"/>
        <v>332</v>
      </c>
      <c r="AH6" s="284">
        <f t="shared" si="5"/>
        <v>332</v>
      </c>
      <c r="AI6" s="284">
        <f t="shared" si="5"/>
        <v>332</v>
      </c>
      <c r="AJ6" s="284">
        <f>SUM(AJ9:AJ354)</f>
        <v>9</v>
      </c>
    </row>
    <row r="7" spans="1:38">
      <c r="A7" s="3"/>
      <c r="B7" s="102" t="s">
        <v>167</v>
      </c>
      <c r="C7" s="255">
        <v>150</v>
      </c>
      <c r="D7" s="299">
        <f>C7</f>
        <v>150</v>
      </c>
      <c r="E7" s="293">
        <f t="shared" si="4"/>
        <v>0</v>
      </c>
      <c r="F7" s="3"/>
      <c r="G7" s="3"/>
      <c r="H7" s="3"/>
      <c r="I7" s="3"/>
      <c r="J7" s="3"/>
      <c r="K7" s="3"/>
      <c r="L7" s="3"/>
      <c r="M7" s="3"/>
      <c r="N7" s="3"/>
      <c r="O7" s="3"/>
      <c r="P7" s="3"/>
      <c r="Q7" s="3"/>
      <c r="R7" s="3"/>
      <c r="S7" s="168" t="s">
        <v>195</v>
      </c>
      <c r="T7" s="168" t="s">
        <v>196</v>
      </c>
      <c r="U7" s="168" t="s">
        <v>194</v>
      </c>
      <c r="V7" s="168" t="s">
        <v>196</v>
      </c>
      <c r="W7" s="3"/>
    </row>
    <row r="8" spans="1:38">
      <c r="A8" s="3"/>
      <c r="B8" s="102" t="s">
        <v>168</v>
      </c>
      <c r="C8" s="112">
        <f>C6*C7/100</f>
        <v>750</v>
      </c>
      <c r="D8" s="113">
        <f>D6*D7/100</f>
        <v>750</v>
      </c>
      <c r="E8" s="293">
        <f t="shared" si="4"/>
        <v>0</v>
      </c>
      <c r="F8" s="3"/>
      <c r="G8" s="3"/>
      <c r="H8" s="3"/>
      <c r="I8" s="3"/>
      <c r="J8" s="3"/>
      <c r="K8" s="3"/>
      <c r="L8" s="3"/>
      <c r="M8" s="3"/>
      <c r="N8" s="3"/>
      <c r="O8" s="3"/>
      <c r="P8" s="3"/>
      <c r="Q8" s="3"/>
      <c r="R8" s="3"/>
      <c r="S8" s="334">
        <v>1992</v>
      </c>
      <c r="T8" s="335">
        <v>0</v>
      </c>
      <c r="U8" s="334">
        <v>1</v>
      </c>
      <c r="V8" s="335">
        <v>0</v>
      </c>
      <c r="W8" s="3"/>
      <c r="AB8" s="168" t="s">
        <v>193</v>
      </c>
      <c r="AC8" s="168" t="s">
        <v>194</v>
      </c>
      <c r="AD8" s="168" t="s">
        <v>175</v>
      </c>
      <c r="AE8" s="168" t="s">
        <v>175</v>
      </c>
      <c r="AF8" s="168" t="s">
        <v>175</v>
      </c>
      <c r="AG8" s="168" t="s">
        <v>176</v>
      </c>
      <c r="AH8" s="168" t="s">
        <v>176</v>
      </c>
      <c r="AI8" s="168" t="s">
        <v>176</v>
      </c>
      <c r="AK8" s="272" t="s">
        <v>175</v>
      </c>
      <c r="AL8" s="272" t="s">
        <v>176</v>
      </c>
    </row>
    <row r="9" spans="1:38">
      <c r="A9" s="3"/>
      <c r="B9" s="102" t="s">
        <v>213</v>
      </c>
      <c r="C9" s="253">
        <v>2</v>
      </c>
      <c r="D9" s="298">
        <v>2.2000000000000002</v>
      </c>
      <c r="E9" s="292">
        <f t="shared" si="4"/>
        <v>0.20000000000000018</v>
      </c>
      <c r="F9" s="3"/>
      <c r="G9" s="3"/>
      <c r="H9" s="3"/>
      <c r="I9" s="3"/>
      <c r="J9" s="3"/>
      <c r="K9" s="3"/>
      <c r="L9" s="3"/>
      <c r="M9" s="3"/>
      <c r="N9" s="3"/>
      <c r="O9" s="3"/>
      <c r="P9" s="3"/>
      <c r="Q9" s="3"/>
      <c r="R9" s="3"/>
      <c r="S9" s="336">
        <f>S8+1</f>
        <v>1993</v>
      </c>
      <c r="T9" s="337">
        <v>0</v>
      </c>
      <c r="U9" s="336">
        <f>U8+1</f>
        <v>2</v>
      </c>
      <c r="V9" s="337">
        <v>0</v>
      </c>
      <c r="W9" s="3"/>
      <c r="AB9" s="286">
        <v>33604</v>
      </c>
      <c r="AC9" s="93">
        <v>1</v>
      </c>
      <c r="AD9" s="282">
        <v>176.01919365530307</v>
      </c>
      <c r="AE9" s="285">
        <v>-0.2330281060606062</v>
      </c>
      <c r="AF9" s="285">
        <v>1.3978409090909099E-4</v>
      </c>
      <c r="AG9" s="282">
        <v>144.52979910714288</v>
      </c>
      <c r="AH9" s="285">
        <v>-0.1796880952380954</v>
      </c>
      <c r="AI9" s="285">
        <v>1.2065476190476209E-4</v>
      </c>
      <c r="AJ9" s="287">
        <f t="shared" ref="AJ9:AJ72" si="6">VLOOKUP(YEAR(AB9),S$8:T$40,2)*VLOOKUP(AC9,U$8:V$19,2)</f>
        <v>0</v>
      </c>
      <c r="AK9" s="267">
        <f>((AD9+AE9*($C$12-25)+AF9*($C$12-25)^2-(AD9+AE9*($C$12+25)+AF9*($C$12+25)^2)))/(50/100)</f>
        <v>3.733037878787826</v>
      </c>
      <c r="AL9" s="267">
        <f>((AG9+AH9*($C$12-25)+AI9*($C$12-25)^2-(AG9+AH9*($C$12+25)+AI9*($C$12+25)^2)))/(50/100)</f>
        <v>1.0771428571428601</v>
      </c>
    </row>
    <row r="10" spans="1:38">
      <c r="A10" s="3"/>
      <c r="B10" s="102" t="s">
        <v>166</v>
      </c>
      <c r="C10" s="289">
        <v>100</v>
      </c>
      <c r="D10" s="296">
        <f>C10</f>
        <v>100</v>
      </c>
      <c r="E10" s="292">
        <f t="shared" si="4"/>
        <v>0</v>
      </c>
      <c r="F10" s="3"/>
      <c r="G10" s="3"/>
      <c r="H10" s="3"/>
      <c r="I10" s="3"/>
      <c r="J10" s="3"/>
      <c r="K10" s="3"/>
      <c r="L10" s="3"/>
      <c r="M10" s="3"/>
      <c r="N10" s="3"/>
      <c r="O10" s="3"/>
      <c r="P10" s="3"/>
      <c r="Q10" s="3"/>
      <c r="R10" s="3"/>
      <c r="S10" s="336">
        <f t="shared" ref="S10:S35" si="7">S9+1</f>
        <v>1994</v>
      </c>
      <c r="T10" s="337">
        <v>0</v>
      </c>
      <c r="U10" s="336">
        <f t="shared" ref="U10:U11" si="8">U9+1</f>
        <v>3</v>
      </c>
      <c r="V10" s="337">
        <v>0</v>
      </c>
      <c r="W10" s="3"/>
      <c r="AB10" s="286">
        <v>33635</v>
      </c>
      <c r="AC10" s="93">
        <v>2</v>
      </c>
      <c r="AD10" s="282">
        <v>187.42289867424245</v>
      </c>
      <c r="AE10" s="285">
        <v>-0.26019954545454554</v>
      </c>
      <c r="AF10" s="285">
        <v>1.5687121212121217E-4</v>
      </c>
      <c r="AG10" s="282">
        <v>160.55752976190473</v>
      </c>
      <c r="AH10" s="285">
        <v>-0.22491746031746035</v>
      </c>
      <c r="AI10" s="285">
        <v>1.5430158730158743E-4</v>
      </c>
      <c r="AJ10" s="287">
        <f t="shared" si="6"/>
        <v>0</v>
      </c>
      <c r="AK10" s="267">
        <f t="shared" ref="AK10:AK73" si="9">((AD10+AE10*($C$12-25)+AF10*($C$12-25)^2-(AD10+AE10*($C$12+25)+AF10*($C$12+25)^2)))/(50/100)</f>
        <v>4.0579848484848355</v>
      </c>
      <c r="AL10" s="267">
        <f t="shared" ref="AL10:AL73" si="10">((AG10+AH10*($C$12-25)+AI10*($C$12-25)^2-(AG10+AH10*($C$12+25)+AI10*($C$12+25)^2)))/(50/100)</f>
        <v>0.88952380952375165</v>
      </c>
    </row>
    <row r="11" spans="1:38">
      <c r="A11" s="3"/>
      <c r="B11" s="102" t="s">
        <v>169</v>
      </c>
      <c r="C11" s="107">
        <f>C9*C10</f>
        <v>200</v>
      </c>
      <c r="D11" s="297">
        <f>D9*D10</f>
        <v>220.00000000000003</v>
      </c>
      <c r="E11" s="291">
        <f t="shared" si="4"/>
        <v>20.000000000000028</v>
      </c>
      <c r="F11" s="3"/>
      <c r="G11" s="3"/>
      <c r="H11" s="3"/>
      <c r="I11" s="3"/>
      <c r="J11" s="3"/>
      <c r="K11" s="3"/>
      <c r="L11" s="3"/>
      <c r="M11" s="3"/>
      <c r="N11" s="3"/>
      <c r="O11" s="3"/>
      <c r="P11" s="3"/>
      <c r="Q11" s="3"/>
      <c r="R11" s="3"/>
      <c r="S11" s="336">
        <f t="shared" si="7"/>
        <v>1995</v>
      </c>
      <c r="T11" s="337">
        <v>0</v>
      </c>
      <c r="U11" s="336">
        <f t="shared" si="8"/>
        <v>4</v>
      </c>
      <c r="V11" s="337">
        <v>0</v>
      </c>
      <c r="W11" s="3"/>
      <c r="AB11" s="286">
        <v>33664</v>
      </c>
      <c r="AC11" s="93">
        <v>3</v>
      </c>
      <c r="AD11" s="282">
        <v>179.56150110479803</v>
      </c>
      <c r="AE11" s="285">
        <v>-0.23610143939393952</v>
      </c>
      <c r="AF11" s="285">
        <v>1.3633459595959604E-4</v>
      </c>
      <c r="AG11" s="282">
        <v>155.35427455357149</v>
      </c>
      <c r="AH11" s="285">
        <v>-0.2014398809523813</v>
      </c>
      <c r="AI11" s="285">
        <v>1.2849404761904799E-4</v>
      </c>
      <c r="AJ11" s="287">
        <f t="shared" si="6"/>
        <v>0</v>
      </c>
      <c r="AK11" s="267">
        <f t="shared" si="9"/>
        <v>4.5233005050505426</v>
      </c>
      <c r="AL11" s="267">
        <f t="shared" si="10"/>
        <v>2.1548214285713811</v>
      </c>
    </row>
    <row r="12" spans="1:38">
      <c r="A12" s="3"/>
      <c r="B12" s="102" t="s">
        <v>214</v>
      </c>
      <c r="C12" s="107">
        <f>C6+C11</f>
        <v>700</v>
      </c>
      <c r="D12" s="297">
        <f>D6+D11</f>
        <v>720</v>
      </c>
      <c r="E12" s="291">
        <f t="shared" si="4"/>
        <v>20</v>
      </c>
      <c r="F12" s="3"/>
      <c r="G12" s="3"/>
      <c r="H12" s="3"/>
      <c r="I12" s="3"/>
      <c r="J12" s="3"/>
      <c r="K12" s="3"/>
      <c r="L12" s="3"/>
      <c r="M12" s="3"/>
      <c r="N12" s="3"/>
      <c r="O12" s="3"/>
      <c r="P12" s="3"/>
      <c r="Q12" s="3"/>
      <c r="R12" s="3"/>
      <c r="S12" s="336">
        <f t="shared" si="7"/>
        <v>1996</v>
      </c>
      <c r="T12" s="337">
        <v>0</v>
      </c>
      <c r="U12" s="336">
        <f t="shared" ref="U12:U19" si="11">U11+1</f>
        <v>5</v>
      </c>
      <c r="V12" s="337">
        <v>0</v>
      </c>
      <c r="W12" s="3"/>
      <c r="AB12" s="286">
        <v>33695</v>
      </c>
      <c r="AC12" s="93">
        <v>4</v>
      </c>
      <c r="AD12" s="282">
        <v>190.56704848484858</v>
      </c>
      <c r="AE12" s="285">
        <v>-0.25684149494949521</v>
      </c>
      <c r="AF12" s="285">
        <v>1.4269898989899008E-4</v>
      </c>
      <c r="AG12" s="282">
        <v>155.72820758928574</v>
      </c>
      <c r="AH12" s="285">
        <v>-0.20445583333333359</v>
      </c>
      <c r="AI12" s="285">
        <v>1.2876309523809554E-4</v>
      </c>
      <c r="AJ12" s="287">
        <f t="shared" si="6"/>
        <v>0</v>
      </c>
      <c r="AK12" s="267">
        <f t="shared" si="9"/>
        <v>5.7062909090909386</v>
      </c>
      <c r="AL12" s="267">
        <f t="shared" si="10"/>
        <v>2.4187499999999602</v>
      </c>
    </row>
    <row r="13" spans="1:38">
      <c r="A13" s="3"/>
      <c r="B13" s="102" t="s">
        <v>170</v>
      </c>
      <c r="C13" s="255">
        <v>140</v>
      </c>
      <c r="D13" s="299">
        <f>IF(D36&gt;0,C13-D36*(D12-C12)/100,(C13+IF(OR(C5="Steer",C5="Steers"),C31,D31)+C13*IF(OR(C5="Steer",C5="Steers"),C32,D32))/2)</f>
        <v>138.39827532981874</v>
      </c>
      <c r="E13" s="112">
        <f t="shared" si="4"/>
        <v>-1.6017246701812553</v>
      </c>
      <c r="F13" s="3"/>
      <c r="G13" s="3"/>
      <c r="H13" s="3"/>
      <c r="I13" s="3"/>
      <c r="J13" s="3"/>
      <c r="K13" s="3"/>
      <c r="L13" s="3"/>
      <c r="M13" s="3"/>
      <c r="N13" s="3"/>
      <c r="O13" s="3"/>
      <c r="P13" s="3"/>
      <c r="Q13" s="3"/>
      <c r="R13" s="3"/>
      <c r="S13" s="336">
        <f t="shared" si="7"/>
        <v>1997</v>
      </c>
      <c r="T13" s="337">
        <v>0</v>
      </c>
      <c r="U13" s="336">
        <f t="shared" si="11"/>
        <v>6</v>
      </c>
      <c r="V13" s="337">
        <v>0</v>
      </c>
      <c r="W13" s="3"/>
      <c r="AB13" s="286">
        <v>33725</v>
      </c>
      <c r="AC13" s="93">
        <v>5</v>
      </c>
      <c r="AD13" s="282">
        <v>172.24817803030311</v>
      </c>
      <c r="AE13" s="285">
        <v>-0.21579848484848499</v>
      </c>
      <c r="AF13" s="285">
        <v>1.2045454545454554E-4</v>
      </c>
      <c r="AG13" s="282">
        <v>129.64384300595242</v>
      </c>
      <c r="AH13" s="285">
        <v>-0.12247242063492084</v>
      </c>
      <c r="AI13" s="285">
        <v>6.5152777777777976E-5</v>
      </c>
      <c r="AJ13" s="287">
        <f t="shared" si="6"/>
        <v>0</v>
      </c>
      <c r="AK13" s="267">
        <f t="shared" si="9"/>
        <v>4.7162121212120951</v>
      </c>
      <c r="AL13" s="267">
        <f t="shared" si="10"/>
        <v>3.1258531746031508</v>
      </c>
    </row>
    <row r="14" spans="1:38">
      <c r="A14" s="3"/>
      <c r="B14" s="102" t="s">
        <v>173</v>
      </c>
      <c r="C14" s="293">
        <f>IF(D36&gt;0,D36,-E13/((D12-C12)/100))</f>
        <v>8.0086233509062765</v>
      </c>
      <c r="D14" s="299">
        <f>C14</f>
        <v>8.0086233509062765</v>
      </c>
      <c r="E14" s="112">
        <f t="shared" si="4"/>
        <v>0</v>
      </c>
      <c r="F14" s="3"/>
      <c r="G14" s="3"/>
      <c r="H14" s="3"/>
      <c r="I14" s="3"/>
      <c r="J14" s="3"/>
      <c r="K14" s="3"/>
      <c r="L14" s="3"/>
      <c r="M14" s="3"/>
      <c r="N14" s="3"/>
      <c r="O14" s="3"/>
      <c r="P14" s="3"/>
      <c r="Q14" s="3"/>
      <c r="R14" s="3"/>
      <c r="S14" s="336">
        <f t="shared" si="7"/>
        <v>1998</v>
      </c>
      <c r="T14" s="337">
        <v>0</v>
      </c>
      <c r="U14" s="336">
        <f t="shared" si="11"/>
        <v>7</v>
      </c>
      <c r="V14" s="337">
        <v>0</v>
      </c>
      <c r="W14" s="3"/>
      <c r="AB14" s="286">
        <v>33756</v>
      </c>
      <c r="AC14" s="93">
        <v>6</v>
      </c>
      <c r="AD14" s="282">
        <v>150.19983128156565</v>
      </c>
      <c r="AE14" s="285">
        <v>-0.1456526515151515</v>
      </c>
      <c r="AF14" s="285">
        <v>7.336994949494947E-5</v>
      </c>
      <c r="AG14" s="282">
        <v>106.00216145833329</v>
      </c>
      <c r="AH14" s="285">
        <v>-5.4382341269841164E-2</v>
      </c>
      <c r="AI14" s="285">
        <v>2.2176587301587224E-5</v>
      </c>
      <c r="AJ14" s="287">
        <f t="shared" si="6"/>
        <v>0</v>
      </c>
      <c r="AK14" s="267">
        <f t="shared" si="9"/>
        <v>4.293472222222249</v>
      </c>
      <c r="AL14" s="267">
        <f t="shared" si="10"/>
        <v>2.333511904761906</v>
      </c>
    </row>
    <row r="15" spans="1:38">
      <c r="A15" s="3"/>
      <c r="B15" s="102" t="s">
        <v>171</v>
      </c>
      <c r="C15" s="112">
        <f>C12*C13/100</f>
        <v>980</v>
      </c>
      <c r="D15" s="113">
        <f>D12*D13/100</f>
        <v>996.46758237469487</v>
      </c>
      <c r="E15" s="293">
        <f>D15-C15</f>
        <v>16.467582374694871</v>
      </c>
      <c r="F15" s="3"/>
      <c r="G15" s="3"/>
      <c r="H15" s="3"/>
      <c r="I15" s="3"/>
      <c r="J15" s="3"/>
      <c r="K15" s="3"/>
      <c r="L15" s="3"/>
      <c r="M15" s="3"/>
      <c r="N15" s="3"/>
      <c r="O15" s="3"/>
      <c r="P15" s="3"/>
      <c r="Q15" s="3"/>
      <c r="R15" s="3"/>
      <c r="S15" s="336">
        <f t="shared" si="7"/>
        <v>1999</v>
      </c>
      <c r="T15" s="337">
        <v>0</v>
      </c>
      <c r="U15" s="336">
        <f t="shared" si="11"/>
        <v>8</v>
      </c>
      <c r="V15" s="337">
        <v>0</v>
      </c>
      <c r="W15" s="3"/>
      <c r="AB15" s="286">
        <v>33786</v>
      </c>
      <c r="AC15" s="93">
        <v>7</v>
      </c>
      <c r="AD15" s="282">
        <v>155.98957196969695</v>
      </c>
      <c r="AE15" s="285">
        <v>-0.17700315151515147</v>
      </c>
      <c r="AF15" s="285">
        <v>1.0478181818181815E-4</v>
      </c>
      <c r="AG15" s="282">
        <v>134.06544866071428</v>
      </c>
      <c r="AH15" s="285">
        <v>-0.14090091269841279</v>
      </c>
      <c r="AI15" s="285">
        <v>9.2669444444444575E-5</v>
      </c>
      <c r="AJ15" s="287">
        <f t="shared" si="6"/>
        <v>0</v>
      </c>
      <c r="AK15" s="267">
        <f t="shared" si="9"/>
        <v>3.030860606060628</v>
      </c>
      <c r="AL15" s="267">
        <f t="shared" si="10"/>
        <v>1.1163690476190311</v>
      </c>
    </row>
    <row r="16" spans="1:38">
      <c r="A16" s="3"/>
      <c r="B16" s="102"/>
      <c r="C16" s="102"/>
      <c r="D16" s="300"/>
      <c r="E16" s="102"/>
      <c r="F16" s="3"/>
      <c r="G16" s="3"/>
      <c r="H16" s="3"/>
      <c r="I16" s="3"/>
      <c r="J16" s="3"/>
      <c r="K16" s="3"/>
      <c r="L16" s="3"/>
      <c r="M16" s="3"/>
      <c r="N16" s="3"/>
      <c r="O16" s="3"/>
      <c r="P16" s="3"/>
      <c r="Q16" s="3"/>
      <c r="R16" s="3"/>
      <c r="S16" s="336">
        <f t="shared" si="7"/>
        <v>2000</v>
      </c>
      <c r="T16" s="337">
        <v>0</v>
      </c>
      <c r="U16" s="336">
        <f t="shared" si="11"/>
        <v>9</v>
      </c>
      <c r="V16" s="337">
        <v>1</v>
      </c>
      <c r="W16" s="3"/>
      <c r="AB16" s="286">
        <v>33817</v>
      </c>
      <c r="AC16" s="93">
        <v>8</v>
      </c>
      <c r="AD16" s="282">
        <v>137.11154734848486</v>
      </c>
      <c r="AE16" s="285">
        <v>-0.11314525252525257</v>
      </c>
      <c r="AF16" s="285">
        <v>5.745959595959599E-5</v>
      </c>
      <c r="AG16" s="282">
        <v>124.07482142857141</v>
      </c>
      <c r="AH16" s="285">
        <v>-0.10196428571428576</v>
      </c>
      <c r="AI16" s="285">
        <v>6.0666666666666734E-5</v>
      </c>
      <c r="AJ16" s="287">
        <f t="shared" si="6"/>
        <v>0</v>
      </c>
      <c r="AK16" s="267">
        <f t="shared" si="9"/>
        <v>3.2701818181818396</v>
      </c>
      <c r="AL16" s="267">
        <f t="shared" si="10"/>
        <v>1.7030952380952158</v>
      </c>
    </row>
    <row r="17" spans="1:38">
      <c r="A17" s="3"/>
      <c r="B17" s="102" t="s">
        <v>201</v>
      </c>
      <c r="C17" s="112">
        <f>C15-C8</f>
        <v>230</v>
      </c>
      <c r="D17" s="113">
        <f>D15-D8</f>
        <v>246.46758237469487</v>
      </c>
      <c r="E17" s="293">
        <f>D17-C17</f>
        <v>16.467582374694871</v>
      </c>
      <c r="F17" s="3"/>
      <c r="G17" s="3"/>
      <c r="H17" s="3"/>
      <c r="I17" s="3"/>
      <c r="J17" s="3"/>
      <c r="K17" s="3"/>
      <c r="L17" s="3"/>
      <c r="M17" s="3"/>
      <c r="N17" s="3"/>
      <c r="O17" s="3"/>
      <c r="P17" s="3"/>
      <c r="Q17" s="3"/>
      <c r="R17" s="3"/>
      <c r="S17" s="336">
        <f t="shared" si="7"/>
        <v>2001</v>
      </c>
      <c r="T17" s="337">
        <v>0</v>
      </c>
      <c r="U17" s="336">
        <f t="shared" si="11"/>
        <v>10</v>
      </c>
      <c r="V17" s="337">
        <v>1</v>
      </c>
      <c r="W17" s="3"/>
      <c r="AB17" s="286">
        <v>33848</v>
      </c>
      <c r="AC17" s="93">
        <v>9</v>
      </c>
      <c r="AD17" s="282">
        <v>149.32295757575753</v>
      </c>
      <c r="AE17" s="285">
        <v>-0.15377478787878782</v>
      </c>
      <c r="AF17" s="285">
        <v>8.867878787878784E-5</v>
      </c>
      <c r="AG17" s="282">
        <v>134.79191071428579</v>
      </c>
      <c r="AH17" s="285">
        <v>-0.14319238095238138</v>
      </c>
      <c r="AI17" s="285">
        <v>9.4847619047619476E-5</v>
      </c>
      <c r="AJ17" s="287">
        <f t="shared" si="6"/>
        <v>0</v>
      </c>
      <c r="AK17" s="267">
        <f t="shared" si="9"/>
        <v>2.9624484848484656</v>
      </c>
      <c r="AL17" s="267">
        <f t="shared" si="10"/>
        <v>1.0405714285714396</v>
      </c>
    </row>
    <row r="18" spans="1:38">
      <c r="A18" s="3"/>
      <c r="B18" s="102" t="s">
        <v>178</v>
      </c>
      <c r="C18" s="107"/>
      <c r="D18" s="301">
        <f>2*0.013*100*1</f>
        <v>2.6</v>
      </c>
      <c r="E18" s="293"/>
      <c r="F18" s="3"/>
      <c r="G18" s="3"/>
      <c r="H18" s="3"/>
      <c r="I18" s="3"/>
      <c r="J18" s="3"/>
      <c r="K18" s="3"/>
      <c r="L18" s="3"/>
      <c r="M18" s="3"/>
      <c r="N18" s="3"/>
      <c r="O18" s="3"/>
      <c r="P18" s="3"/>
      <c r="Q18" s="3"/>
      <c r="R18" s="3"/>
      <c r="S18" s="336">
        <f t="shared" si="7"/>
        <v>2002</v>
      </c>
      <c r="T18" s="337">
        <v>0</v>
      </c>
      <c r="U18" s="336">
        <f t="shared" si="11"/>
        <v>11</v>
      </c>
      <c r="V18" s="337">
        <v>1</v>
      </c>
      <c r="W18" s="3"/>
      <c r="AB18" s="286">
        <v>33878</v>
      </c>
      <c r="AC18" s="93">
        <v>10</v>
      </c>
      <c r="AD18" s="282">
        <v>147.92198579545459</v>
      </c>
      <c r="AE18" s="285">
        <v>-0.15857813131313137</v>
      </c>
      <c r="AF18" s="285">
        <v>9.7224747474747506E-5</v>
      </c>
      <c r="AG18" s="282">
        <v>113.52566964285717</v>
      </c>
      <c r="AH18" s="285">
        <v>-8.7029761904762068E-2</v>
      </c>
      <c r="AI18" s="285">
        <v>5.8166666666666829E-5</v>
      </c>
      <c r="AJ18" s="287">
        <f t="shared" si="6"/>
        <v>0</v>
      </c>
      <c r="AK18" s="267">
        <f t="shared" si="9"/>
        <v>2.2463484848485109</v>
      </c>
      <c r="AL18" s="267">
        <f t="shared" si="10"/>
        <v>0.55964285714284756</v>
      </c>
    </row>
    <row r="19" spans="1:38" ht="15" thickBot="1">
      <c r="A19" s="3"/>
      <c r="B19" s="270" t="s">
        <v>217</v>
      </c>
      <c r="C19" s="270"/>
      <c r="D19" s="302">
        <f>(E17)/D18</f>
        <v>6.3336855287287959</v>
      </c>
      <c r="E19" s="327" t="str">
        <f>IF(D19&gt;1,"(+","(")&amp;FIXED((D19-1)*100,0)&amp;"%)"</f>
        <v>(+533%)</v>
      </c>
      <c r="F19" s="3"/>
      <c r="G19" s="3"/>
      <c r="H19" s="3"/>
      <c r="I19" s="3"/>
      <c r="J19" s="3"/>
      <c r="K19" s="3"/>
      <c r="L19" s="3"/>
      <c r="M19" s="3"/>
      <c r="N19" s="3"/>
      <c r="O19" s="3"/>
      <c r="P19" s="3"/>
      <c r="Q19" s="3"/>
      <c r="R19" s="3"/>
      <c r="S19" s="336">
        <f t="shared" si="7"/>
        <v>2003</v>
      </c>
      <c r="T19" s="337">
        <v>0</v>
      </c>
      <c r="U19" s="336">
        <f t="shared" si="11"/>
        <v>12</v>
      </c>
      <c r="V19" s="337">
        <v>0</v>
      </c>
      <c r="W19" s="3"/>
      <c r="AB19" s="286">
        <v>33909</v>
      </c>
      <c r="AC19" s="93">
        <v>11</v>
      </c>
      <c r="AD19" s="282">
        <v>157.78412058080812</v>
      </c>
      <c r="AE19" s="285">
        <v>-0.18759363636363646</v>
      </c>
      <c r="AF19" s="285">
        <v>1.1838888888888896E-4</v>
      </c>
      <c r="AG19" s="282">
        <v>126.84938988095232</v>
      </c>
      <c r="AH19" s="285">
        <v>-0.12536269841269826</v>
      </c>
      <c r="AI19" s="285">
        <v>8.6499999999999907E-5</v>
      </c>
      <c r="AJ19" s="287">
        <f t="shared" si="6"/>
        <v>0</v>
      </c>
      <c r="AK19" s="267">
        <f t="shared" si="9"/>
        <v>2.1849191919191924</v>
      </c>
      <c r="AL19" s="267">
        <f t="shared" si="10"/>
        <v>0.42626984126982848</v>
      </c>
    </row>
    <row r="20" spans="1:38">
      <c r="A20" s="3"/>
      <c r="B20" s="33" t="s">
        <v>215</v>
      </c>
      <c r="C20" s="3"/>
      <c r="D20" s="3"/>
      <c r="E20" s="3"/>
      <c r="F20" s="3"/>
      <c r="G20" s="3"/>
      <c r="H20" s="3"/>
      <c r="I20" s="3"/>
      <c r="J20" s="3"/>
      <c r="K20" s="3"/>
      <c r="L20" s="3"/>
      <c r="M20" s="3"/>
      <c r="N20" s="3"/>
      <c r="O20" s="3"/>
      <c r="P20" s="3"/>
      <c r="Q20" s="3"/>
      <c r="R20" s="3"/>
      <c r="S20" s="336">
        <f t="shared" si="7"/>
        <v>2004</v>
      </c>
      <c r="T20" s="337">
        <v>0</v>
      </c>
      <c r="U20" s="336"/>
      <c r="V20" s="338"/>
      <c r="W20" s="3"/>
      <c r="AB20" s="286">
        <v>33939</v>
      </c>
      <c r="AC20" s="93">
        <v>12</v>
      </c>
      <c r="AD20" s="282">
        <v>135.99831287878794</v>
      </c>
      <c r="AE20" s="285">
        <v>-0.12083787878787894</v>
      </c>
      <c r="AF20" s="285">
        <v>6.9533333333333429E-5</v>
      </c>
      <c r="AG20" s="282">
        <v>128.16363616071422</v>
      </c>
      <c r="AH20" s="285">
        <v>-0.12609416666666648</v>
      </c>
      <c r="AI20" s="285">
        <v>8.5820238095237999E-5</v>
      </c>
      <c r="AJ20" s="287">
        <f t="shared" si="6"/>
        <v>0</v>
      </c>
      <c r="AK20" s="267">
        <f t="shared" si="9"/>
        <v>2.349121212121247</v>
      </c>
      <c r="AL20" s="267">
        <f t="shared" si="10"/>
        <v>0.59458333333333258</v>
      </c>
    </row>
    <row r="21" spans="1:38">
      <c r="A21" s="3"/>
      <c r="B21" s="33" t="s">
        <v>216</v>
      </c>
      <c r="C21" s="3"/>
      <c r="D21" s="3"/>
      <c r="E21" s="3"/>
      <c r="F21" s="3"/>
      <c r="G21" s="3"/>
      <c r="H21" s="3"/>
      <c r="I21" s="3"/>
      <c r="J21" s="3"/>
      <c r="K21" s="3"/>
      <c r="L21" s="3"/>
      <c r="M21" s="3"/>
      <c r="N21" s="3"/>
      <c r="O21" s="3"/>
      <c r="P21" s="3"/>
      <c r="Q21" s="3"/>
      <c r="R21" s="3"/>
      <c r="S21" s="336">
        <f t="shared" si="7"/>
        <v>2005</v>
      </c>
      <c r="T21" s="337">
        <v>0</v>
      </c>
      <c r="U21" s="336"/>
      <c r="V21" s="336"/>
      <c r="W21" s="3"/>
      <c r="AB21" s="286">
        <v>33970</v>
      </c>
      <c r="AC21" s="93">
        <v>1</v>
      </c>
      <c r="AD21" s="282">
        <v>139.78457433712128</v>
      </c>
      <c r="AE21" s="285">
        <v>-0.12050810606060616</v>
      </c>
      <c r="AF21" s="285">
        <v>6.7102272727272795E-5</v>
      </c>
      <c r="AG21" s="282">
        <v>125.34055803571431</v>
      </c>
      <c r="AH21" s="285">
        <v>-0.11039285714285725</v>
      </c>
      <c r="AI21" s="285">
        <v>7.5250000000000149E-5</v>
      </c>
      <c r="AJ21" s="287">
        <f t="shared" si="6"/>
        <v>0</v>
      </c>
      <c r="AK21" s="267">
        <f t="shared" si="9"/>
        <v>2.6564924242424581</v>
      </c>
      <c r="AL21" s="267">
        <f t="shared" si="10"/>
        <v>0.50428571428571445</v>
      </c>
    </row>
    <row r="22" spans="1:38">
      <c r="A22" s="3"/>
      <c r="B22" s="3"/>
      <c r="C22" s="3"/>
      <c r="D22" s="3"/>
      <c r="E22" s="3"/>
      <c r="F22" s="3"/>
      <c r="G22" s="3"/>
      <c r="H22" s="3"/>
      <c r="I22" s="3"/>
      <c r="J22" s="3"/>
      <c r="K22" s="3"/>
      <c r="L22" s="3"/>
      <c r="M22" s="3"/>
      <c r="N22" s="3"/>
      <c r="O22" s="3"/>
      <c r="P22" s="3"/>
      <c r="Q22" s="3"/>
      <c r="R22" s="3"/>
      <c r="S22" s="336">
        <f t="shared" si="7"/>
        <v>2006</v>
      </c>
      <c r="T22" s="337">
        <v>0</v>
      </c>
      <c r="U22" s="336"/>
      <c r="V22" s="336"/>
      <c r="W22" s="3"/>
      <c r="AB22" s="286">
        <v>34001</v>
      </c>
      <c r="AC22" s="93">
        <v>2</v>
      </c>
      <c r="AD22" s="282">
        <v>179.55687784090912</v>
      </c>
      <c r="AE22" s="285">
        <v>-0.22877944444444454</v>
      </c>
      <c r="AF22" s="285">
        <v>1.3538131313131318E-4</v>
      </c>
      <c r="AG22" s="282">
        <v>128.97620163690479</v>
      </c>
      <c r="AH22" s="285">
        <v>-0.13158789682539701</v>
      </c>
      <c r="AI22" s="285">
        <v>9.2347222222222423E-5</v>
      </c>
      <c r="AJ22" s="287">
        <f t="shared" si="6"/>
        <v>0</v>
      </c>
      <c r="AK22" s="267">
        <f t="shared" si="9"/>
        <v>3.9245606060605951</v>
      </c>
      <c r="AL22" s="267">
        <f t="shared" si="10"/>
        <v>0.23017857142855291</v>
      </c>
    </row>
    <row r="23" spans="1:38">
      <c r="A23" s="3"/>
      <c r="B23" s="132" t="s">
        <v>209</v>
      </c>
      <c r="C23" s="3"/>
      <c r="D23" s="3"/>
      <c r="E23" s="3"/>
      <c r="F23" s="3"/>
      <c r="G23" s="3"/>
      <c r="H23" s="3"/>
      <c r="I23" s="3"/>
      <c r="J23" s="3"/>
      <c r="K23" s="3"/>
      <c r="L23" s="3"/>
      <c r="M23" s="3"/>
      <c r="N23" s="3"/>
      <c r="O23" s="3"/>
      <c r="P23" s="3"/>
      <c r="Q23" s="3"/>
      <c r="R23" s="3"/>
      <c r="S23" s="336">
        <f t="shared" si="7"/>
        <v>2007</v>
      </c>
      <c r="T23" s="337">
        <v>0</v>
      </c>
      <c r="U23" s="336"/>
      <c r="V23" s="336"/>
      <c r="W23" s="3"/>
      <c r="AB23" s="286">
        <v>34029</v>
      </c>
      <c r="AC23" s="93">
        <v>3</v>
      </c>
      <c r="AD23" s="282">
        <v>203.43068437500003</v>
      </c>
      <c r="AE23" s="285">
        <v>-0.27522807575757585</v>
      </c>
      <c r="AF23" s="285">
        <v>1.5756742424242432E-4</v>
      </c>
      <c r="AG23" s="282">
        <v>173.00659151785703</v>
      </c>
      <c r="AH23" s="285">
        <v>-0.24997130952380928</v>
      </c>
      <c r="AI23" s="285">
        <v>1.7343452380952368E-4</v>
      </c>
      <c r="AJ23" s="287">
        <f t="shared" si="6"/>
        <v>0</v>
      </c>
      <c r="AK23" s="267">
        <f t="shared" si="9"/>
        <v>5.4633681818181685</v>
      </c>
      <c r="AL23" s="267">
        <f t="shared" si="10"/>
        <v>0.7162976190476229</v>
      </c>
    </row>
    <row r="24" spans="1:38">
      <c r="A24" s="3"/>
      <c r="B24" s="98"/>
      <c r="C24" s="268" t="s">
        <v>181</v>
      </c>
      <c r="D24" s="303" t="s">
        <v>182</v>
      </c>
      <c r="E24" s="98"/>
      <c r="F24" s="3"/>
      <c r="G24" s="3"/>
      <c r="H24" s="3"/>
      <c r="I24" s="3"/>
      <c r="J24" s="3"/>
      <c r="K24" s="3"/>
      <c r="L24" s="3"/>
      <c r="M24" s="3"/>
      <c r="N24" s="3"/>
      <c r="O24" s="3"/>
      <c r="P24" s="3"/>
      <c r="Q24" s="3"/>
      <c r="R24" s="3"/>
      <c r="S24" s="336">
        <f t="shared" si="7"/>
        <v>2008</v>
      </c>
      <c r="T24" s="337">
        <v>0</v>
      </c>
      <c r="U24" s="336"/>
      <c r="V24" s="336"/>
      <c r="W24" s="3"/>
      <c r="AB24" s="286">
        <v>34060</v>
      </c>
      <c r="AC24" s="93">
        <v>4</v>
      </c>
      <c r="AD24" s="282">
        <v>154.08969933712129</v>
      </c>
      <c r="AE24" s="285">
        <v>-0.12722416666666683</v>
      </c>
      <c r="AF24" s="285">
        <v>5.149621212121224E-5</v>
      </c>
      <c r="AG24" s="282">
        <v>160.11639136904756</v>
      </c>
      <c r="AH24" s="285">
        <v>-0.19416984126984113</v>
      </c>
      <c r="AI24" s="285">
        <v>1.2109126984126981E-4</v>
      </c>
      <c r="AJ24" s="287">
        <f t="shared" si="6"/>
        <v>0</v>
      </c>
      <c r="AK24" s="267">
        <f t="shared" si="9"/>
        <v>5.5129469696969693</v>
      </c>
      <c r="AL24" s="267">
        <f t="shared" si="10"/>
        <v>2.4642063492063642</v>
      </c>
    </row>
    <row r="25" spans="1:38">
      <c r="A25" s="3"/>
      <c r="B25" s="102" t="s">
        <v>27</v>
      </c>
      <c r="C25" s="103">
        <f>($I$33*I35+$J$33*J35+$K$33*K35)/($I$33+$J$33+$K$33)</f>
        <v>300.64091484909892</v>
      </c>
      <c r="D25" s="304">
        <f>($M$33*M35+$N$33*N35+$O$33*O35)/($M$33+$N$33+$O$33)</f>
        <v>259.5709571797845</v>
      </c>
      <c r="E25" s="102"/>
      <c r="F25" s="3"/>
      <c r="G25" s="3"/>
      <c r="H25" s="3"/>
      <c r="I25" s="3"/>
      <c r="J25" s="3"/>
      <c r="K25" s="3"/>
      <c r="L25" s="3"/>
      <c r="M25" s="3"/>
      <c r="N25" s="3"/>
      <c r="O25" s="3"/>
      <c r="P25" s="3"/>
      <c r="Q25" s="3"/>
      <c r="R25" s="3"/>
      <c r="S25" s="336">
        <f t="shared" si="7"/>
        <v>2009</v>
      </c>
      <c r="T25" s="337">
        <v>0</v>
      </c>
      <c r="U25" s="336"/>
      <c r="V25" s="336"/>
      <c r="W25" s="3"/>
      <c r="AB25" s="286">
        <v>34090</v>
      </c>
      <c r="AC25" s="93">
        <v>5</v>
      </c>
      <c r="AD25" s="282">
        <v>161.96704971590907</v>
      </c>
      <c r="AE25" s="285">
        <v>-0.14648386363636362</v>
      </c>
      <c r="AF25" s="285">
        <v>6.4814393939393916E-5</v>
      </c>
      <c r="AG25" s="282">
        <v>139.46294642857151</v>
      </c>
      <c r="AH25" s="285">
        <v>-0.12408095238095282</v>
      </c>
      <c r="AI25" s="285">
        <v>6.533333333333376E-5</v>
      </c>
      <c r="AJ25" s="287">
        <f t="shared" si="6"/>
        <v>0</v>
      </c>
      <c r="AK25" s="267">
        <f t="shared" si="9"/>
        <v>5.574371212121207</v>
      </c>
      <c r="AL25" s="267">
        <f t="shared" si="10"/>
        <v>3.2614285714285813</v>
      </c>
    </row>
    <row r="26" spans="1:38">
      <c r="A26" s="3"/>
      <c r="B26" s="102" t="s">
        <v>179</v>
      </c>
      <c r="C26" s="294">
        <f>($I$33*I36+$J$33*J36+$K$33*K36)/($I$33+$J$33+$K$33)</f>
        <v>-0.34410124262698577</v>
      </c>
      <c r="D26" s="305">
        <f>($M$33*M36+$N$33*N36+$O$33*O36)/($M$33+$N$33+$O$33)</f>
        <v>-0.29560234870788565</v>
      </c>
      <c r="E26" s="102"/>
      <c r="F26" s="3"/>
      <c r="G26" s="3"/>
      <c r="H26" s="3"/>
      <c r="I26" s="3"/>
      <c r="J26" s="3"/>
      <c r="K26" s="3"/>
      <c r="L26" s="3"/>
      <c r="M26" s="3"/>
      <c r="N26" s="3"/>
      <c r="O26" s="3"/>
      <c r="P26" s="3"/>
      <c r="Q26" s="3"/>
      <c r="R26" s="3"/>
      <c r="S26" s="336">
        <f t="shared" si="7"/>
        <v>2010</v>
      </c>
      <c r="T26" s="337">
        <v>0</v>
      </c>
      <c r="U26" s="336"/>
      <c r="V26" s="336"/>
      <c r="W26" s="3"/>
      <c r="AB26" s="286">
        <v>34121</v>
      </c>
      <c r="AC26" s="93">
        <v>6</v>
      </c>
      <c r="AD26" s="282">
        <v>163.8942304924243</v>
      </c>
      <c r="AE26" s="285">
        <v>-0.16534936363636382</v>
      </c>
      <c r="AF26" s="285">
        <v>8.7404545454545604E-5</v>
      </c>
      <c r="AG26" s="282">
        <v>140.90834895833331</v>
      </c>
      <c r="AH26" s="285">
        <v>-0.14222400793650794</v>
      </c>
      <c r="AI26" s="285">
        <v>9.0054365079365124E-5</v>
      </c>
      <c r="AJ26" s="287">
        <f t="shared" si="6"/>
        <v>0</v>
      </c>
      <c r="AK26" s="267">
        <f t="shared" si="9"/>
        <v>4.2983000000000402</v>
      </c>
      <c r="AL26" s="267">
        <f t="shared" si="10"/>
        <v>1.6147896825396799</v>
      </c>
    </row>
    <row r="27" spans="1:38">
      <c r="A27" s="3"/>
      <c r="B27" s="102" t="s">
        <v>180</v>
      </c>
      <c r="C27" s="294">
        <f>($I$33*I37+$J$33*J37+$K$33*K37)/($I$33+$J$33+$K$33)</f>
        <v>1.8399488747589688E-4</v>
      </c>
      <c r="D27" s="305">
        <f>($M$33*M37+$N$33*N37+$O$33*O37)/($M$33+$N$33+$O$33)</f>
        <v>1.7499304315657664E-4</v>
      </c>
      <c r="E27" s="102"/>
      <c r="F27" s="3"/>
      <c r="G27" s="3"/>
      <c r="H27" s="3"/>
      <c r="I27" s="3"/>
      <c r="J27" s="3"/>
      <c r="K27" s="3"/>
      <c r="L27" s="3"/>
      <c r="M27" s="3"/>
      <c r="N27" s="3"/>
      <c r="O27" s="3"/>
      <c r="P27" s="3"/>
      <c r="Q27" s="3"/>
      <c r="R27" s="3"/>
      <c r="S27" s="336">
        <f t="shared" si="7"/>
        <v>2011</v>
      </c>
      <c r="T27" s="337">
        <v>0</v>
      </c>
      <c r="U27" s="336"/>
      <c r="V27" s="336"/>
      <c r="W27" s="3"/>
      <c r="AB27" s="286">
        <v>34151</v>
      </c>
      <c r="AC27" s="93">
        <v>7</v>
      </c>
      <c r="AD27" s="282">
        <v>150.69341248851086</v>
      </c>
      <c r="AE27" s="285">
        <v>-0.1397939949312873</v>
      </c>
      <c r="AF27" s="285">
        <v>7.6181155739688067E-5</v>
      </c>
      <c r="AG27" s="282">
        <v>109.53853794642866</v>
      </c>
      <c r="AH27" s="285">
        <v>-4.741488095238125E-2</v>
      </c>
      <c r="AI27" s="285">
        <v>2.1958333333333597E-5</v>
      </c>
      <c r="AJ27" s="287">
        <f t="shared" si="6"/>
        <v>0</v>
      </c>
      <c r="AK27" s="267">
        <f t="shared" si="9"/>
        <v>3.3140376895723875</v>
      </c>
      <c r="AL27" s="267">
        <f t="shared" si="10"/>
        <v>1.6673214285713982</v>
      </c>
    </row>
    <row r="28" spans="1:38">
      <c r="A28" s="3"/>
      <c r="B28" s="102"/>
      <c r="C28" s="102"/>
      <c r="D28" s="102"/>
      <c r="E28" s="102"/>
      <c r="F28" s="3"/>
      <c r="G28" s="92"/>
      <c r="H28" s="92"/>
      <c r="I28" s="92"/>
      <c r="J28" s="92"/>
      <c r="K28" s="92"/>
      <c r="L28" s="92"/>
      <c r="M28" s="92"/>
      <c r="N28" s="92"/>
      <c r="O28" s="92"/>
      <c r="P28" s="3"/>
      <c r="Q28" s="3"/>
      <c r="R28" s="3"/>
      <c r="S28" s="336">
        <f t="shared" si="7"/>
        <v>2012</v>
      </c>
      <c r="T28" s="337">
        <v>0</v>
      </c>
      <c r="U28" s="336"/>
      <c r="V28" s="336"/>
      <c r="W28" s="3"/>
      <c r="AB28" s="286">
        <v>34182</v>
      </c>
      <c r="AC28" s="93">
        <v>8</v>
      </c>
      <c r="AD28" s="282">
        <v>133.28846022727276</v>
      </c>
      <c r="AE28" s="285">
        <v>-9.4321919191919346E-2</v>
      </c>
      <c r="AF28" s="285">
        <v>4.6580808080808198E-5</v>
      </c>
      <c r="AG28" s="282">
        <v>131.2547991071429</v>
      </c>
      <c r="AH28" s="285">
        <v>-0.12028452380952404</v>
      </c>
      <c r="AI28" s="285">
        <v>7.8273809523809763E-5</v>
      </c>
      <c r="AJ28" s="287">
        <f t="shared" si="6"/>
        <v>0</v>
      </c>
      <c r="AK28" s="267">
        <f t="shared" si="9"/>
        <v>2.9108787878788007</v>
      </c>
      <c r="AL28" s="267">
        <f t="shared" si="10"/>
        <v>1.0701190476190163</v>
      </c>
    </row>
    <row r="29" spans="1:38">
      <c r="A29" s="3"/>
      <c r="B29" s="102" t="s">
        <v>183</v>
      </c>
      <c r="C29" s="112">
        <f>C25+C26*$C12+C27*$C12^2</f>
        <v>149.92753987339836</v>
      </c>
      <c r="D29" s="306">
        <f>D25+D26*$C12+D27*$C12^2</f>
        <v>138.3959042309871</v>
      </c>
      <c r="E29" s="102"/>
      <c r="F29" s="3"/>
      <c r="G29" s="92"/>
      <c r="H29" s="92"/>
      <c r="I29" s="92"/>
      <c r="J29" s="92"/>
      <c r="K29" s="92"/>
      <c r="L29" s="92"/>
      <c r="M29" s="92"/>
      <c r="N29" s="92"/>
      <c r="O29" s="92"/>
      <c r="P29" s="3"/>
      <c r="Q29" s="3"/>
      <c r="R29" s="3"/>
      <c r="S29" s="336">
        <f t="shared" si="7"/>
        <v>2013</v>
      </c>
      <c r="T29" s="337">
        <v>0</v>
      </c>
      <c r="U29" s="336"/>
      <c r="V29" s="336"/>
      <c r="W29" s="3"/>
      <c r="AB29" s="286">
        <v>34213</v>
      </c>
      <c r="AC29" s="93">
        <v>9</v>
      </c>
      <c r="AD29" s="282">
        <v>145.0244003787879</v>
      </c>
      <c r="AE29" s="285">
        <v>-0.13188882828282836</v>
      </c>
      <c r="AF29" s="285">
        <v>7.2271717171717195E-5</v>
      </c>
      <c r="AG29" s="282">
        <v>123.13982440476184</v>
      </c>
      <c r="AH29" s="285">
        <v>-9.77884126984125E-2</v>
      </c>
      <c r="AI29" s="285">
        <v>5.9950793650793522E-5</v>
      </c>
      <c r="AJ29" s="287">
        <f t="shared" si="6"/>
        <v>0</v>
      </c>
      <c r="AK29" s="267">
        <f t="shared" si="9"/>
        <v>3.0708424242424428</v>
      </c>
      <c r="AL29" s="267">
        <f t="shared" si="10"/>
        <v>1.3857301587301549</v>
      </c>
    </row>
    <row r="30" spans="1:38">
      <c r="A30" s="3"/>
      <c r="B30" s="102" t="s">
        <v>184</v>
      </c>
      <c r="C30" s="112">
        <f>C25+C26*$D12+C27*$D12^2</f>
        <v>148.27096982517412</v>
      </c>
      <c r="D30" s="306">
        <f>D25+D26*$D12+D27*$D12^2</f>
        <v>137.45365968247614</v>
      </c>
      <c r="E30" s="102"/>
      <c r="F30" s="3"/>
      <c r="G30" s="92"/>
      <c r="H30" s="92"/>
      <c r="I30" s="92"/>
      <c r="J30" s="92"/>
      <c r="K30" s="92"/>
      <c r="L30" s="92"/>
      <c r="M30" s="92"/>
      <c r="N30" s="92"/>
      <c r="O30" s="92"/>
      <c r="P30" s="3"/>
      <c r="Q30" s="3"/>
      <c r="R30" s="3"/>
      <c r="S30" s="336">
        <f t="shared" si="7"/>
        <v>2014</v>
      </c>
      <c r="T30" s="337">
        <v>0</v>
      </c>
      <c r="U30" s="336"/>
      <c r="V30" s="336"/>
      <c r="W30" s="3"/>
      <c r="AB30" s="286">
        <v>34243</v>
      </c>
      <c r="AC30" s="93">
        <v>10</v>
      </c>
      <c r="AD30" s="282">
        <v>172.64450189393941</v>
      </c>
      <c r="AE30" s="285">
        <v>-0.21653454545454545</v>
      </c>
      <c r="AF30" s="285">
        <v>1.2998484848484847E-4</v>
      </c>
      <c r="AG30" s="282">
        <v>129.05861607142859</v>
      </c>
      <c r="AH30" s="285">
        <v>-0.11962738095238107</v>
      </c>
      <c r="AI30" s="285">
        <v>7.4166666666666798E-5</v>
      </c>
      <c r="AJ30" s="287">
        <f t="shared" si="6"/>
        <v>0</v>
      </c>
      <c r="AK30" s="267">
        <f t="shared" si="9"/>
        <v>3.4555757575757582</v>
      </c>
      <c r="AL30" s="267">
        <f t="shared" si="10"/>
        <v>1.5794047619047547</v>
      </c>
    </row>
    <row r="31" spans="1:38">
      <c r="A31" s="3"/>
      <c r="B31" s="102" t="s">
        <v>206</v>
      </c>
      <c r="C31" s="112">
        <f>C30-C29</f>
        <v>-1.6565700482242391</v>
      </c>
      <c r="D31" s="306">
        <f>D30-D29</f>
        <v>-0.94224454851095629</v>
      </c>
      <c r="E31" s="102"/>
      <c r="F31" s="3"/>
      <c r="G31" s="132" t="s">
        <v>199</v>
      </c>
      <c r="H31" s="3"/>
      <c r="I31" s="3"/>
      <c r="J31" s="3"/>
      <c r="K31" s="3"/>
      <c r="L31" s="3"/>
      <c r="M31" s="3"/>
      <c r="N31" s="3"/>
      <c r="O31" s="3"/>
      <c r="P31" s="3"/>
      <c r="Q31" s="3"/>
      <c r="R31" s="3"/>
      <c r="S31" s="336">
        <f t="shared" si="7"/>
        <v>2015</v>
      </c>
      <c r="T31" s="337">
        <v>0</v>
      </c>
      <c r="U31" s="336"/>
      <c r="V31" s="336"/>
      <c r="W31" s="3"/>
      <c r="AB31" s="286">
        <v>34274</v>
      </c>
      <c r="AC31" s="93">
        <v>11</v>
      </c>
      <c r="AD31" s="282">
        <v>161.0177831439394</v>
      </c>
      <c r="AE31" s="285">
        <v>-0.18835106060606061</v>
      </c>
      <c r="AF31" s="285">
        <v>1.1324999999999997E-4</v>
      </c>
      <c r="AG31" s="282">
        <v>122.92675967261894</v>
      </c>
      <c r="AH31" s="285">
        <v>-0.10327400793650762</v>
      </c>
      <c r="AI31" s="285">
        <v>6.2914682539682326E-5</v>
      </c>
      <c r="AJ31" s="287">
        <f t="shared" si="6"/>
        <v>0</v>
      </c>
      <c r="AK31" s="267">
        <f t="shared" si="9"/>
        <v>2.9801060606060901</v>
      </c>
      <c r="AL31" s="267">
        <f t="shared" si="10"/>
        <v>1.5193452380952124</v>
      </c>
    </row>
    <row r="32" spans="1:38">
      <c r="A32" s="3"/>
      <c r="B32" s="15" t="s">
        <v>207</v>
      </c>
      <c r="C32" s="271">
        <f>C30/C29</f>
        <v>0.9889508621990124</v>
      </c>
      <c r="D32" s="307">
        <f>D30/D29</f>
        <v>0.99319167316585955</v>
      </c>
      <c r="E32" s="15"/>
      <c r="F32" s="3"/>
      <c r="G32" s="98"/>
      <c r="H32" s="98"/>
      <c r="I32" s="274" t="s">
        <v>181</v>
      </c>
      <c r="J32" s="274"/>
      <c r="K32" s="274"/>
      <c r="L32" s="98"/>
      <c r="M32" s="274" t="s">
        <v>182</v>
      </c>
      <c r="N32" s="274"/>
      <c r="O32" s="274"/>
      <c r="P32" s="3"/>
      <c r="Q32" s="3"/>
      <c r="R32" s="3"/>
      <c r="S32" s="336">
        <f t="shared" si="7"/>
        <v>2016</v>
      </c>
      <c r="T32" s="337">
        <v>1</v>
      </c>
      <c r="U32" s="336"/>
      <c r="V32" s="336"/>
      <c r="W32" s="3"/>
      <c r="AB32" s="286">
        <v>34304</v>
      </c>
      <c r="AC32" s="93">
        <v>12</v>
      </c>
      <c r="AD32" s="282">
        <v>176.58194393939399</v>
      </c>
      <c r="AE32" s="285">
        <v>-0.23122963636363639</v>
      </c>
      <c r="AF32" s="285">
        <v>1.408969696969697E-4</v>
      </c>
      <c r="AG32" s="282">
        <v>142.05741741071435</v>
      </c>
      <c r="AH32" s="285">
        <v>-0.16964059523809549</v>
      </c>
      <c r="AI32" s="285">
        <v>1.1698928571428597E-4</v>
      </c>
      <c r="AJ32" s="287">
        <f t="shared" si="6"/>
        <v>0</v>
      </c>
      <c r="AK32" s="267">
        <f t="shared" si="9"/>
        <v>3.3973878787878675</v>
      </c>
      <c r="AL32" s="267">
        <f t="shared" si="10"/>
        <v>0.58555952380950771</v>
      </c>
    </row>
    <row r="33" spans="1:38">
      <c r="A33" s="3"/>
      <c r="B33" s="324" t="s">
        <v>205</v>
      </c>
      <c r="C33" s="325">
        <f>-((($C13+C31)+($C13*C32))/2-$C13)/($D12-$C12)*100</f>
        <v>8.0086233509062765</v>
      </c>
      <c r="D33" s="326">
        <f>-((($C13+D31)+($C13*D32))/2-$C13)/($D12-$C12)*100</f>
        <v>4.738525763226562</v>
      </c>
      <c r="E33" s="324"/>
      <c r="F33" s="3"/>
      <c r="G33" s="92" t="s">
        <v>200</v>
      </c>
      <c r="H33" s="92"/>
      <c r="I33" s="314">
        <v>0</v>
      </c>
      <c r="J33" s="315">
        <v>1</v>
      </c>
      <c r="K33" s="314">
        <v>0</v>
      </c>
      <c r="L33" s="92"/>
      <c r="M33" s="316">
        <f>I33</f>
        <v>0</v>
      </c>
      <c r="N33" s="317">
        <f t="shared" ref="N33:O33" si="12">J33</f>
        <v>1</v>
      </c>
      <c r="O33" s="316">
        <f t="shared" si="12"/>
        <v>0</v>
      </c>
      <c r="P33" s="3"/>
      <c r="Q33" s="3"/>
      <c r="R33" s="3"/>
      <c r="S33" s="336">
        <f t="shared" si="7"/>
        <v>2017</v>
      </c>
      <c r="T33" s="337">
        <v>1</v>
      </c>
      <c r="U33" s="336"/>
      <c r="V33" s="336"/>
      <c r="W33" s="3"/>
      <c r="AB33" s="286">
        <v>34335</v>
      </c>
      <c r="AC33" s="93">
        <v>1</v>
      </c>
      <c r="AD33" s="282">
        <v>184.34734469696977</v>
      </c>
      <c r="AE33" s="285">
        <v>-0.25359636363636384</v>
      </c>
      <c r="AF33" s="285">
        <v>1.556666666666668E-4</v>
      </c>
      <c r="AG33" s="282">
        <v>149.92319196428585</v>
      </c>
      <c r="AH33" s="285">
        <v>-0.1872928571428577</v>
      </c>
      <c r="AI33" s="285">
        <v>1.2489285714285768E-4</v>
      </c>
      <c r="AJ33" s="287">
        <f t="shared" si="6"/>
        <v>0</v>
      </c>
      <c r="AK33" s="267">
        <f t="shared" si="9"/>
        <v>3.5663030303030041</v>
      </c>
      <c r="AL33" s="267">
        <f t="shared" si="10"/>
        <v>1.2442857142856951</v>
      </c>
    </row>
    <row r="34" spans="1:38">
      <c r="A34" s="3"/>
      <c r="B34" s="3"/>
      <c r="C34" s="3"/>
      <c r="D34" s="3"/>
      <c r="E34" s="3"/>
      <c r="F34" s="3"/>
      <c r="G34" s="92"/>
      <c r="H34" s="92"/>
      <c r="I34" s="275" t="s">
        <v>197</v>
      </c>
      <c r="J34" s="308" t="s">
        <v>202</v>
      </c>
      <c r="K34" s="275" t="s">
        <v>198</v>
      </c>
      <c r="L34" s="92"/>
      <c r="M34" s="275" t="s">
        <v>197</v>
      </c>
      <c r="N34" s="308" t="s">
        <v>202</v>
      </c>
      <c r="O34" s="275" t="s">
        <v>198</v>
      </c>
      <c r="P34" s="3"/>
      <c r="Q34" s="3"/>
      <c r="R34" s="3"/>
      <c r="S34" s="336">
        <f t="shared" si="7"/>
        <v>2018</v>
      </c>
      <c r="T34" s="337">
        <v>1</v>
      </c>
      <c r="U34" s="336"/>
      <c r="V34" s="336"/>
      <c r="W34" s="3"/>
      <c r="AB34" s="286">
        <v>34366</v>
      </c>
      <c r="AC34" s="93">
        <v>2</v>
      </c>
      <c r="AD34" s="282">
        <v>183.20597443181822</v>
      </c>
      <c r="AE34" s="285">
        <v>-0.24733984848484855</v>
      </c>
      <c r="AF34" s="285">
        <v>1.4808333333333337E-4</v>
      </c>
      <c r="AG34" s="282">
        <v>135.21388392857145</v>
      </c>
      <c r="AH34" s="285">
        <v>-0.14224523809523826</v>
      </c>
      <c r="AI34" s="285">
        <v>9.0690476190476388E-5</v>
      </c>
      <c r="AJ34" s="287">
        <f t="shared" si="6"/>
        <v>0</v>
      </c>
      <c r="AK34" s="267">
        <f t="shared" si="9"/>
        <v>4.0023181818181968</v>
      </c>
      <c r="AL34" s="267">
        <f t="shared" si="10"/>
        <v>1.5278571428571581</v>
      </c>
    </row>
    <row r="35" spans="1:38">
      <c r="A35" s="3"/>
      <c r="B35" s="132" t="s">
        <v>204</v>
      </c>
      <c r="C35" s="3"/>
      <c r="D35" s="3"/>
      <c r="E35" s="3"/>
      <c r="F35" s="3"/>
      <c r="G35" s="276" t="s">
        <v>27</v>
      </c>
      <c r="H35" s="98"/>
      <c r="I35" s="277">
        <f>AD3</f>
        <v>235.53322519420846</v>
      </c>
      <c r="J35" s="309">
        <f>AVERAGE(AD297:AD344)</f>
        <v>300.64091484909892</v>
      </c>
      <c r="K35" s="277">
        <f>AVERAGEIFS(AD$9:AD$340,$AJ$9:$AJ$340,"=1")</f>
        <v>297.00002146464652</v>
      </c>
      <c r="L35" s="98"/>
      <c r="M35" s="277">
        <f>AG3</f>
        <v>197.3344540121652</v>
      </c>
      <c r="N35" s="309">
        <f>AVERAGE(AG297:AG344)</f>
        <v>259.5709571797845</v>
      </c>
      <c r="O35" s="277">
        <f>AVERAGEIFS(AG$9:AG$340,$AJ$9:$AJ$340,"=1")</f>
        <v>236.32846230158728</v>
      </c>
      <c r="P35" s="3"/>
      <c r="Q35" s="3"/>
      <c r="R35" s="3"/>
      <c r="S35" s="339">
        <f t="shared" si="7"/>
        <v>2019</v>
      </c>
      <c r="T35" s="340">
        <v>1</v>
      </c>
      <c r="U35" s="339"/>
      <c r="V35" s="339"/>
      <c r="AB35" s="286">
        <v>34394</v>
      </c>
      <c r="AC35" s="93">
        <v>3</v>
      </c>
      <c r="AD35" s="282">
        <v>199.00367613636371</v>
      </c>
      <c r="AE35" s="285">
        <v>-0.27364963636363659</v>
      </c>
      <c r="AF35" s="285">
        <v>1.5590000000000018E-4</v>
      </c>
      <c r="AG35" s="282">
        <v>166.98463392857155</v>
      </c>
      <c r="AH35" s="285">
        <v>-0.22627761904761953</v>
      </c>
      <c r="AI35" s="285">
        <v>1.4363333333333381E-4</v>
      </c>
      <c r="AJ35" s="287">
        <f t="shared" si="6"/>
        <v>0</v>
      </c>
      <c r="AK35" s="267">
        <f t="shared" si="9"/>
        <v>5.5389636363636328</v>
      </c>
      <c r="AL35" s="267">
        <f t="shared" si="10"/>
        <v>2.5190952380951899</v>
      </c>
    </row>
    <row r="36" spans="1:38">
      <c r="A36" s="3"/>
      <c r="B36" s="312" t="s">
        <v>210</v>
      </c>
      <c r="C36" s="312"/>
      <c r="D36" s="313">
        <v>0</v>
      </c>
      <c r="E36" s="312"/>
      <c r="F36" s="3"/>
      <c r="G36" s="116" t="s">
        <v>179</v>
      </c>
      <c r="H36" s="102"/>
      <c r="I36" s="294">
        <f>AE3</f>
        <v>-0.28693782107766408</v>
      </c>
      <c r="J36" s="310">
        <f>AVERAGE(AE297:AE344)</f>
        <v>-0.34410124262698577</v>
      </c>
      <c r="K36" s="294">
        <f>AVERAGEIFS(AE$9:AE$340,$AJ$9:$AJ$340,"=1")</f>
        <v>-0.37977447811447829</v>
      </c>
      <c r="L36" s="102"/>
      <c r="M36" s="294">
        <f>AH3</f>
        <v>-0.22318252230261779</v>
      </c>
      <c r="N36" s="310">
        <f>AVERAGE(AH297:AH344)</f>
        <v>-0.29560234870788565</v>
      </c>
      <c r="O36" s="294">
        <f>AVERAGEIFS(AH$9:AH$340,$AJ$9:$AJ$340,"=1")</f>
        <v>-0.26902063492063488</v>
      </c>
      <c r="P36" s="3"/>
      <c r="Q36" s="3"/>
      <c r="R36" s="3"/>
      <c r="AB36" s="286">
        <v>34425</v>
      </c>
      <c r="AC36" s="93">
        <v>4</v>
      </c>
      <c r="AD36" s="282">
        <v>149.17135653409099</v>
      </c>
      <c r="AE36" s="285">
        <v>-0.12799760101010121</v>
      </c>
      <c r="AF36" s="285">
        <v>4.9955808080808219E-5</v>
      </c>
      <c r="AG36" s="282">
        <v>143.7719791666668</v>
      </c>
      <c r="AH36" s="285">
        <v>-0.15125515873015913</v>
      </c>
      <c r="AI36" s="285">
        <v>8.0753968253968625E-5</v>
      </c>
      <c r="AJ36" s="287">
        <f t="shared" si="6"/>
        <v>0</v>
      </c>
      <c r="AK36" s="267">
        <f t="shared" si="9"/>
        <v>5.8059469696969472</v>
      </c>
      <c r="AL36" s="267">
        <f t="shared" si="10"/>
        <v>3.8199603174603567</v>
      </c>
    </row>
    <row r="37" spans="1:38">
      <c r="A37" s="3"/>
      <c r="B37" s="278" t="s">
        <v>208</v>
      </c>
      <c r="C37" s="15"/>
      <c r="D37" s="15"/>
      <c r="E37" s="15"/>
      <c r="F37" s="3"/>
      <c r="G37" s="278" t="s">
        <v>180</v>
      </c>
      <c r="H37" s="15"/>
      <c r="I37" s="279">
        <f>AF3</f>
        <v>1.6077089098975278E-4</v>
      </c>
      <c r="J37" s="311">
        <f>AVERAGE(AF297:AF344)</f>
        <v>1.8399488747589688E-4</v>
      </c>
      <c r="K37" s="279">
        <f>AVERAGEIFS(AF$9:AF$340,$AJ$9:$AJ$340,"=1")</f>
        <v>2.3775420875420887E-4</v>
      </c>
      <c r="L37" s="15"/>
      <c r="M37" s="279">
        <f>AI3</f>
        <v>1.3222476892726991E-4</v>
      </c>
      <c r="N37" s="311">
        <f>AVERAGE(AI297:AI344)</f>
        <v>1.7499304315657664E-4</v>
      </c>
      <c r="O37" s="279">
        <f>AVERAGEIFS(AI$9:AI$340,$AJ$9:$AJ$340,"=1")</f>
        <v>1.8667195767195773E-4</v>
      </c>
      <c r="P37" s="3"/>
      <c r="Q37" s="3"/>
      <c r="R37" s="3"/>
      <c r="AB37" s="286">
        <v>34455</v>
      </c>
      <c r="AC37" s="93">
        <v>5</v>
      </c>
      <c r="AD37" s="282">
        <v>146.13948721590916</v>
      </c>
      <c r="AE37" s="285">
        <v>-0.12594265151515166</v>
      </c>
      <c r="AF37" s="285">
        <v>4.476893939393949E-5</v>
      </c>
      <c r="AG37" s="282">
        <v>150.91447172619047</v>
      </c>
      <c r="AH37" s="285">
        <v>-0.18624841269841277</v>
      </c>
      <c r="AI37" s="285">
        <v>1.0703571428571441E-4</v>
      </c>
      <c r="AJ37" s="287">
        <f t="shared" si="6"/>
        <v>0</v>
      </c>
      <c r="AK37" s="267">
        <f t="shared" si="9"/>
        <v>6.3266136363636463</v>
      </c>
      <c r="AL37" s="267">
        <f t="shared" si="10"/>
        <v>3.6398412698412699</v>
      </c>
    </row>
    <row r="38" spans="1:38">
      <c r="B38" s="3"/>
      <c r="C38" s="3"/>
      <c r="D38" s="3"/>
      <c r="E38" s="3"/>
      <c r="G38" s="3"/>
      <c r="H38" s="3"/>
      <c r="I38" s="3"/>
      <c r="J38" s="3"/>
      <c r="K38" s="3"/>
      <c r="L38" s="3"/>
      <c r="M38" s="3"/>
      <c r="N38" s="3"/>
      <c r="O38" s="3"/>
      <c r="AB38" s="286">
        <v>34486</v>
      </c>
      <c r="AC38" s="93">
        <v>6</v>
      </c>
      <c r="AD38" s="282">
        <v>145.50370313029666</v>
      </c>
      <c r="AE38" s="285">
        <v>-0.15505906345752807</v>
      </c>
      <c r="AF38" s="285">
        <v>8.0605196916069935E-5</v>
      </c>
      <c r="AG38" s="282">
        <v>134.2691711309526</v>
      </c>
      <c r="AH38" s="285">
        <v>-0.15332515873015959</v>
      </c>
      <c r="AI38" s="285">
        <v>9.114206349206427E-5</v>
      </c>
      <c r="AJ38" s="287">
        <f t="shared" si="6"/>
        <v>0</v>
      </c>
      <c r="AK38" s="267">
        <f t="shared" si="9"/>
        <v>4.2211787775030132</v>
      </c>
      <c r="AL38" s="267">
        <f t="shared" si="10"/>
        <v>2.5726269841269414</v>
      </c>
    </row>
    <row r="39" spans="1:38">
      <c r="AB39" s="286">
        <v>34516</v>
      </c>
      <c r="AC39" s="93">
        <v>7</v>
      </c>
      <c r="AD39" s="282">
        <v>162.35548954299864</v>
      </c>
      <c r="AE39" s="285">
        <v>-0.20105361602878744</v>
      </c>
      <c r="AF39" s="285">
        <v>1.1777409720158268E-4</v>
      </c>
      <c r="AG39" s="282">
        <v>132.56652157738091</v>
      </c>
      <c r="AH39" s="285">
        <v>-0.15118551587301576</v>
      </c>
      <c r="AI39" s="285">
        <v>9.7628968253968208E-5</v>
      </c>
      <c r="AJ39" s="287">
        <f t="shared" si="6"/>
        <v>0</v>
      </c>
      <c r="AK39" s="267">
        <f t="shared" si="9"/>
        <v>3.6169879946572223</v>
      </c>
      <c r="AL39" s="267">
        <f t="shared" si="10"/>
        <v>1.4504960317460416</v>
      </c>
    </row>
    <row r="40" spans="1:38">
      <c r="AB40" s="286">
        <v>34547</v>
      </c>
      <c r="AC40" s="93">
        <v>8</v>
      </c>
      <c r="AD40" s="282">
        <v>166.99152474747473</v>
      </c>
      <c r="AE40" s="285">
        <v>-0.21818288888888884</v>
      </c>
      <c r="AF40" s="285">
        <v>1.3129696969696965E-4</v>
      </c>
      <c r="AG40" s="282">
        <v>128.42132142857142</v>
      </c>
      <c r="AH40" s="285">
        <v>-0.14546761904761912</v>
      </c>
      <c r="AI40" s="285">
        <v>9.7200000000000126E-5</v>
      </c>
      <c r="AJ40" s="287">
        <f t="shared" si="6"/>
        <v>0</v>
      </c>
      <c r="AK40" s="267">
        <f t="shared" si="9"/>
        <v>3.4367131313131551</v>
      </c>
      <c r="AL40" s="267">
        <f t="shared" si="10"/>
        <v>0.93876190476188981</v>
      </c>
    </row>
    <row r="41" spans="1:38">
      <c r="AB41" s="286">
        <v>34578</v>
      </c>
      <c r="AC41" s="93">
        <v>9</v>
      </c>
      <c r="AD41" s="282">
        <v>115.32721823956797</v>
      </c>
      <c r="AE41" s="285">
        <v>-8.3315054386347315E-2</v>
      </c>
      <c r="AF41" s="285">
        <v>3.7589313286334133E-5</v>
      </c>
      <c r="AG41" s="282">
        <v>133.9918005952382</v>
      </c>
      <c r="AH41" s="285">
        <v>-0.18396944444444485</v>
      </c>
      <c r="AI41" s="285">
        <v>1.3353174603174644E-4</v>
      </c>
      <c r="AJ41" s="287">
        <f t="shared" si="6"/>
        <v>0</v>
      </c>
      <c r="AK41" s="267">
        <f t="shared" si="9"/>
        <v>3.0690015785479545</v>
      </c>
      <c r="AL41" s="267">
        <f t="shared" si="10"/>
        <v>-0.29749999999998522</v>
      </c>
    </row>
    <row r="42" spans="1:38">
      <c r="AB42" s="286">
        <v>34608</v>
      </c>
      <c r="AC42" s="93">
        <v>10</v>
      </c>
      <c r="AD42" s="282">
        <v>131.32094886363637</v>
      </c>
      <c r="AE42" s="285">
        <v>-0.13549757575757579</v>
      </c>
      <c r="AF42" s="285">
        <v>7.5378787878787896E-5</v>
      </c>
      <c r="AG42" s="282">
        <v>116.37703125000002</v>
      </c>
      <c r="AH42" s="285">
        <v>-0.13685357142857152</v>
      </c>
      <c r="AI42" s="285">
        <v>9.9797619047619162E-5</v>
      </c>
      <c r="AJ42" s="287">
        <f t="shared" si="6"/>
        <v>0</v>
      </c>
      <c r="AK42" s="267">
        <f t="shared" si="9"/>
        <v>2.99672727272727</v>
      </c>
      <c r="AL42" s="267">
        <f t="shared" si="10"/>
        <v>-0.28630952380950703</v>
      </c>
    </row>
    <row r="43" spans="1:38">
      <c r="AB43" s="286">
        <v>34639</v>
      </c>
      <c r="AC43" s="93">
        <v>11</v>
      </c>
      <c r="AD43" s="282">
        <v>151.15233352272733</v>
      </c>
      <c r="AE43" s="285">
        <v>-0.18660572727272748</v>
      </c>
      <c r="AF43" s="285">
        <v>1.1220454545454561E-4</v>
      </c>
      <c r="AG43" s="282">
        <v>120.89668898809529</v>
      </c>
      <c r="AH43" s="285">
        <v>-0.13921396825396851</v>
      </c>
      <c r="AI43" s="285">
        <v>9.9589682539682797E-5</v>
      </c>
      <c r="AJ43" s="287">
        <f t="shared" si="6"/>
        <v>0</v>
      </c>
      <c r="AK43" s="267">
        <f t="shared" si="9"/>
        <v>2.9519363636363494</v>
      </c>
      <c r="AL43" s="267">
        <f t="shared" si="10"/>
        <v>-2.1158730158731487E-2</v>
      </c>
    </row>
    <row r="44" spans="1:38">
      <c r="AB44" s="286">
        <v>34669</v>
      </c>
      <c r="AC44" s="93">
        <v>12</v>
      </c>
      <c r="AD44" s="282">
        <v>154.13740094696976</v>
      </c>
      <c r="AE44" s="285">
        <v>-0.19061314141414154</v>
      </c>
      <c r="AF44" s="285">
        <v>1.1610555555555563E-4</v>
      </c>
      <c r="AG44" s="282">
        <v>124.79122023809535</v>
      </c>
      <c r="AH44" s="285">
        <v>-0.15175158730158775</v>
      </c>
      <c r="AI44" s="285">
        <v>1.1317460317460359E-4</v>
      </c>
      <c r="AJ44" s="287">
        <f t="shared" si="6"/>
        <v>0</v>
      </c>
      <c r="AK44" s="267">
        <f t="shared" si="9"/>
        <v>2.8065363636364111</v>
      </c>
      <c r="AL44" s="267">
        <f t="shared" si="10"/>
        <v>-0.66928571428570649</v>
      </c>
    </row>
    <row r="45" spans="1:38">
      <c r="AB45" s="286">
        <v>34700</v>
      </c>
      <c r="AC45" s="93">
        <v>1</v>
      </c>
      <c r="AD45" s="282">
        <v>174.67639441287878</v>
      </c>
      <c r="AE45" s="285">
        <v>-0.25501477272727274</v>
      </c>
      <c r="AF45" s="285">
        <v>1.6435984848484851E-4</v>
      </c>
      <c r="AG45" s="282">
        <v>139.64369419642861</v>
      </c>
      <c r="AH45" s="285">
        <v>-0.19228988095238125</v>
      </c>
      <c r="AI45" s="285">
        <v>1.4037500000000034E-4</v>
      </c>
      <c r="AJ45" s="287">
        <f t="shared" si="6"/>
        <v>0</v>
      </c>
      <c r="AK45" s="267">
        <f t="shared" si="9"/>
        <v>2.4910984848485214</v>
      </c>
      <c r="AL45" s="267">
        <f t="shared" si="10"/>
        <v>-0.42351190476193779</v>
      </c>
    </row>
    <row r="46" spans="1:38">
      <c r="AB46" s="286">
        <v>34731</v>
      </c>
      <c r="AC46" s="93">
        <v>2</v>
      </c>
      <c r="AD46" s="282">
        <v>181.75522253787886</v>
      </c>
      <c r="AE46" s="285">
        <v>-0.27488590909090926</v>
      </c>
      <c r="AF46" s="285">
        <v>1.7137121212121225E-4</v>
      </c>
      <c r="AG46" s="282">
        <v>125.36840401785724</v>
      </c>
      <c r="AH46" s="285">
        <v>-0.14032083333333373</v>
      </c>
      <c r="AI46" s="285">
        <v>8.9839285714286084E-5</v>
      </c>
      <c r="AJ46" s="287">
        <f t="shared" si="6"/>
        <v>0</v>
      </c>
      <c r="AK46" s="267">
        <f t="shared" si="9"/>
        <v>3.4966212121212266</v>
      </c>
      <c r="AL46" s="267">
        <f t="shared" si="10"/>
        <v>1.4545833333333462</v>
      </c>
    </row>
    <row r="47" spans="1:38">
      <c r="AB47" s="286">
        <v>34759</v>
      </c>
      <c r="AC47" s="93">
        <v>3</v>
      </c>
      <c r="AD47" s="282">
        <v>166.17012121212124</v>
      </c>
      <c r="AE47" s="285">
        <v>-0.23314424242424256</v>
      </c>
      <c r="AF47" s="285">
        <v>1.3556363636363646E-4</v>
      </c>
      <c r="AG47" s="282">
        <v>130.85072142857135</v>
      </c>
      <c r="AH47" s="285">
        <v>-0.17272457142857131</v>
      </c>
      <c r="AI47" s="285">
        <v>1.1200380952380952E-4</v>
      </c>
      <c r="AJ47" s="287">
        <f t="shared" si="6"/>
        <v>0</v>
      </c>
      <c r="AK47" s="267">
        <f t="shared" si="9"/>
        <v>4.3355151515151533</v>
      </c>
      <c r="AL47" s="267">
        <f t="shared" si="10"/>
        <v>1.59192380952382</v>
      </c>
    </row>
    <row r="48" spans="1:38">
      <c r="AB48" s="286">
        <v>34790</v>
      </c>
      <c r="AC48" s="93">
        <v>4</v>
      </c>
      <c r="AD48" s="282">
        <v>151.10970760732326</v>
      </c>
      <c r="AE48" s="285">
        <v>-0.18769280303030303</v>
      </c>
      <c r="AF48" s="285">
        <v>9.8795707070707057E-5</v>
      </c>
      <c r="AG48" s="282">
        <v>107.32310267857152</v>
      </c>
      <c r="AH48" s="285">
        <v>-8.9111904761905072E-2</v>
      </c>
      <c r="AI48" s="285">
        <v>3.6273809523809806E-5</v>
      </c>
      <c r="AJ48" s="287">
        <f t="shared" si="6"/>
        <v>0</v>
      </c>
      <c r="AK48" s="267">
        <f t="shared" si="9"/>
        <v>4.9378813131312995</v>
      </c>
      <c r="AL48" s="267">
        <f t="shared" si="10"/>
        <v>3.8328571428571365</v>
      </c>
    </row>
    <row r="49" spans="28:38">
      <c r="AB49" s="286">
        <v>34820</v>
      </c>
      <c r="AC49" s="93">
        <v>5</v>
      </c>
      <c r="AD49" s="282">
        <v>132.09048674242433</v>
      </c>
      <c r="AE49" s="285">
        <v>-0.14693775757575783</v>
      </c>
      <c r="AF49" s="285">
        <v>7.6081818181818363E-5</v>
      </c>
      <c r="AG49" s="282">
        <v>125.81919642857156</v>
      </c>
      <c r="AH49" s="285">
        <v>-0.16601904761904807</v>
      </c>
      <c r="AI49" s="285">
        <v>1.0635238095238135E-4</v>
      </c>
      <c r="AJ49" s="287">
        <f t="shared" si="6"/>
        <v>0</v>
      </c>
      <c r="AK49" s="267">
        <f t="shared" si="9"/>
        <v>4.0423212121212089</v>
      </c>
      <c r="AL49" s="267">
        <f t="shared" si="10"/>
        <v>1.7125714285714224</v>
      </c>
    </row>
    <row r="50" spans="28:38">
      <c r="AB50" s="286">
        <v>34851</v>
      </c>
      <c r="AC50" s="93">
        <v>6</v>
      </c>
      <c r="AD50" s="282">
        <v>123.61992787247473</v>
      </c>
      <c r="AE50" s="285">
        <v>-0.12592760101010089</v>
      </c>
      <c r="AF50" s="285">
        <v>6.7284090909090817E-5</v>
      </c>
      <c r="AG50" s="282">
        <v>95.729412202380956</v>
      </c>
      <c r="AH50" s="285">
        <v>-7.6006349206349189E-2</v>
      </c>
      <c r="AI50" s="285">
        <v>4.3670634920634921E-5</v>
      </c>
      <c r="AJ50" s="287">
        <f t="shared" si="6"/>
        <v>0</v>
      </c>
      <c r="AK50" s="267">
        <f t="shared" si="9"/>
        <v>3.1729873737374135</v>
      </c>
      <c r="AL50" s="267">
        <f t="shared" si="10"/>
        <v>1.4867460317460086</v>
      </c>
    </row>
    <row r="51" spans="28:38">
      <c r="AB51" s="286">
        <v>34881</v>
      </c>
      <c r="AC51" s="93">
        <v>7</v>
      </c>
      <c r="AD51" s="282">
        <v>130.56465214646474</v>
      </c>
      <c r="AE51" s="285">
        <v>-0.16739727272727298</v>
      </c>
      <c r="AF51" s="285">
        <v>1.0779292929292946E-4</v>
      </c>
      <c r="AG51" s="282">
        <v>101.43383106784243</v>
      </c>
      <c r="AH51" s="285">
        <v>-0.11907888019044051</v>
      </c>
      <c r="AI51" s="285">
        <v>9.3238977142836226E-5</v>
      </c>
      <c r="AJ51" s="287">
        <f t="shared" si="6"/>
        <v>0</v>
      </c>
      <c r="AK51" s="267">
        <f t="shared" si="9"/>
        <v>1.648717171717152</v>
      </c>
      <c r="AL51" s="267">
        <f t="shared" si="10"/>
        <v>-1.1455687809530133</v>
      </c>
    </row>
    <row r="52" spans="28:38">
      <c r="AB52" s="286">
        <v>34912</v>
      </c>
      <c r="AC52" s="93">
        <v>8</v>
      </c>
      <c r="AD52" s="282">
        <v>124.01942196969709</v>
      </c>
      <c r="AE52" s="285">
        <v>-0.1525890303030307</v>
      </c>
      <c r="AF52" s="285">
        <v>9.9060606060606367E-5</v>
      </c>
      <c r="AG52" s="282">
        <v>78.055084077380954</v>
      </c>
      <c r="AH52" s="285">
        <v>-5.0461944444444462E-2</v>
      </c>
      <c r="AI52" s="285">
        <v>4.1259126984127023E-5</v>
      </c>
      <c r="AJ52" s="287">
        <f t="shared" si="6"/>
        <v>0</v>
      </c>
      <c r="AK52" s="267">
        <f t="shared" si="9"/>
        <v>1.3904181818181769</v>
      </c>
      <c r="AL52" s="267">
        <f t="shared" si="10"/>
        <v>-0.73008333333332587</v>
      </c>
    </row>
    <row r="53" spans="28:38">
      <c r="AB53" s="286">
        <v>34943</v>
      </c>
      <c r="AC53" s="93">
        <v>9</v>
      </c>
      <c r="AD53" s="282">
        <v>93.528870422979793</v>
      </c>
      <c r="AE53" s="285">
        <v>-8.0184247474747505E-2</v>
      </c>
      <c r="AF53" s="285">
        <v>5.6668939393939413E-5</v>
      </c>
      <c r="AG53" s="282">
        <v>57.31429687499989</v>
      </c>
      <c r="AH53" s="285">
        <v>8.4029761904765368E-3</v>
      </c>
      <c r="AI53" s="285">
        <v>1.0297619047616223E-6</v>
      </c>
      <c r="AJ53" s="287">
        <f t="shared" si="6"/>
        <v>0</v>
      </c>
      <c r="AK53" s="267">
        <f t="shared" si="9"/>
        <v>8.4773232323215097E-2</v>
      </c>
      <c r="AL53" s="267">
        <f t="shared" si="10"/>
        <v>-0.98446428571426736</v>
      </c>
    </row>
    <row r="54" spans="28:38">
      <c r="AB54" s="286">
        <v>34973</v>
      </c>
      <c r="AC54" s="93">
        <v>10</v>
      </c>
      <c r="AD54" s="282">
        <v>98.24707717803031</v>
      </c>
      <c r="AE54" s="285">
        <v>-9.931169191919198E-2</v>
      </c>
      <c r="AF54" s="285">
        <v>7.2736111111111173E-5</v>
      </c>
      <c r="AG54" s="282">
        <v>62.111127232142763</v>
      </c>
      <c r="AH54" s="285">
        <v>-2.3345833333333007E-2</v>
      </c>
      <c r="AI54" s="285">
        <v>3.3577380952380685E-5</v>
      </c>
      <c r="AJ54" s="287">
        <f t="shared" si="6"/>
        <v>0</v>
      </c>
      <c r="AK54" s="267">
        <f t="shared" si="9"/>
        <v>-0.25188636363634487</v>
      </c>
      <c r="AL54" s="267">
        <f t="shared" si="10"/>
        <v>-2.3662499999999937</v>
      </c>
    </row>
    <row r="55" spans="28:38">
      <c r="AB55" s="286">
        <v>35004</v>
      </c>
      <c r="AC55" s="93">
        <v>11</v>
      </c>
      <c r="AD55" s="282">
        <v>88.140853977272798</v>
      </c>
      <c r="AE55" s="285">
        <v>-6.9144757575757831E-2</v>
      </c>
      <c r="AF55" s="285">
        <v>5.1846969696969889E-5</v>
      </c>
      <c r="AG55" s="282">
        <v>62.680866071428703</v>
      </c>
      <c r="AH55" s="285">
        <v>-3.1145238095238535E-2</v>
      </c>
      <c r="AI55" s="285">
        <v>4.4138095238095618E-5</v>
      </c>
      <c r="AJ55" s="287">
        <f t="shared" si="6"/>
        <v>0</v>
      </c>
      <c r="AK55" s="267">
        <f t="shared" si="9"/>
        <v>-0.34409999999999741</v>
      </c>
      <c r="AL55" s="267">
        <f t="shared" si="10"/>
        <v>-3.0648095238095436</v>
      </c>
    </row>
    <row r="56" spans="28:38">
      <c r="AB56" s="286">
        <v>35034</v>
      </c>
      <c r="AC56" s="93">
        <v>12</v>
      </c>
      <c r="AD56" s="282">
        <v>70.42522632575762</v>
      </c>
      <c r="AE56" s="285">
        <v>-2.9091060606060745E-2</v>
      </c>
      <c r="AF56" s="285">
        <v>2.7401515151515254E-5</v>
      </c>
      <c r="AG56" s="282">
        <v>54.825598958333259</v>
      </c>
      <c r="AH56" s="285">
        <v>-1.4359722222221963E-2</v>
      </c>
      <c r="AI56" s="285">
        <v>3.3930555555555331E-5</v>
      </c>
      <c r="AJ56" s="287">
        <f t="shared" si="6"/>
        <v>0</v>
      </c>
      <c r="AK56" s="267">
        <f t="shared" si="9"/>
        <v>-0.92710606060606437</v>
      </c>
      <c r="AL56" s="267">
        <f t="shared" si="10"/>
        <v>-3.3143055555555492</v>
      </c>
    </row>
    <row r="57" spans="28:38">
      <c r="AB57" s="286">
        <v>35065</v>
      </c>
      <c r="AC57" s="93">
        <v>1</v>
      </c>
      <c r="AD57" s="282">
        <v>79.150738352272725</v>
      </c>
      <c r="AE57" s="285">
        <v>-6.2662772727272706E-2</v>
      </c>
      <c r="AF57" s="285">
        <v>4.6820454545454528E-5</v>
      </c>
      <c r="AG57" s="282">
        <v>67.441321428571356</v>
      </c>
      <c r="AH57" s="285">
        <v>-6.0317142857142632E-2</v>
      </c>
      <c r="AI57" s="285">
        <v>6.0971428571428389E-5</v>
      </c>
      <c r="AJ57" s="287">
        <f t="shared" si="6"/>
        <v>0</v>
      </c>
      <c r="AK57" s="267">
        <f t="shared" si="9"/>
        <v>-0.28858636363636947</v>
      </c>
      <c r="AL57" s="267">
        <f t="shared" si="10"/>
        <v>-2.5042857142857002</v>
      </c>
    </row>
    <row r="58" spans="28:38">
      <c r="AB58" s="286">
        <v>35096</v>
      </c>
      <c r="AC58" s="93">
        <v>2</v>
      </c>
      <c r="AD58" s="282">
        <v>93.37196448863638</v>
      </c>
      <c r="AE58" s="285">
        <v>-9.281901515151518E-2</v>
      </c>
      <c r="AF58" s="285">
        <v>5.98598484848485E-5</v>
      </c>
      <c r="AG58" s="282">
        <v>70.740947544642822</v>
      </c>
      <c r="AH58" s="285">
        <v>-6.124172619047609E-2</v>
      </c>
      <c r="AI58" s="285">
        <v>5.2293452380952315E-5</v>
      </c>
      <c r="AJ58" s="287">
        <f t="shared" si="6"/>
        <v>0</v>
      </c>
      <c r="AK58" s="267">
        <f t="shared" si="9"/>
        <v>0.90152272727273441</v>
      </c>
      <c r="AL58" s="267">
        <f t="shared" si="10"/>
        <v>-1.1969107142857212</v>
      </c>
    </row>
    <row r="59" spans="28:38">
      <c r="AB59" s="286">
        <v>35125</v>
      </c>
      <c r="AC59" s="93">
        <v>3</v>
      </c>
      <c r="AD59" s="282">
        <v>87.646848106060617</v>
      </c>
      <c r="AE59" s="285">
        <v>-8.0858757575757612E-2</v>
      </c>
      <c r="AF59" s="285">
        <v>5.1718181818181843E-5</v>
      </c>
      <c r="AG59" s="282">
        <v>65.050133928571341</v>
      </c>
      <c r="AH59" s="285">
        <v>-4.3524999999999731E-2</v>
      </c>
      <c r="AI59" s="285">
        <v>3.5642857142856938E-5</v>
      </c>
      <c r="AJ59" s="287">
        <f t="shared" si="6"/>
        <v>0</v>
      </c>
      <c r="AK59" s="267">
        <f t="shared" si="9"/>
        <v>0.84533030303029477</v>
      </c>
      <c r="AL59" s="267">
        <f t="shared" si="10"/>
        <v>-0.63749999999998863</v>
      </c>
    </row>
    <row r="60" spans="28:38">
      <c r="AB60" s="286">
        <v>35156</v>
      </c>
      <c r="AC60" s="93">
        <v>4</v>
      </c>
      <c r="AD60" s="282">
        <v>84.651408143939378</v>
      </c>
      <c r="AE60" s="285">
        <v>-7.9149242424242372E-2</v>
      </c>
      <c r="AF60" s="285">
        <v>4.7765151515151467E-5</v>
      </c>
      <c r="AG60" s="282">
        <v>81.129151785714299</v>
      </c>
      <c r="AH60" s="285">
        <v>-0.10838809523809532</v>
      </c>
      <c r="AI60" s="285">
        <v>8.5880952380952487E-5</v>
      </c>
      <c r="AJ60" s="287">
        <f t="shared" si="6"/>
        <v>0</v>
      </c>
      <c r="AK60" s="267">
        <f t="shared" si="9"/>
        <v>1.2278030303030221</v>
      </c>
      <c r="AL60" s="267">
        <f t="shared" si="10"/>
        <v>-1.1845238095238386</v>
      </c>
    </row>
    <row r="61" spans="28:38">
      <c r="AB61" s="286">
        <v>35186</v>
      </c>
      <c r="AC61" s="93">
        <v>5</v>
      </c>
      <c r="AD61" s="282">
        <v>47.898550643939402</v>
      </c>
      <c r="AE61" s="285">
        <v>3.8132793939393915E-2</v>
      </c>
      <c r="AF61" s="285">
        <v>-3.6024545454545449E-5</v>
      </c>
      <c r="AG61" s="282">
        <v>45.930924107142943</v>
      </c>
      <c r="AH61" s="285">
        <v>1.3974523809523541E-2</v>
      </c>
      <c r="AI61" s="285">
        <v>-9.802380952380737E-6</v>
      </c>
      <c r="AJ61" s="287">
        <f t="shared" si="6"/>
        <v>0</v>
      </c>
      <c r="AK61" s="267">
        <f t="shared" si="9"/>
        <v>1.2301569696969921</v>
      </c>
      <c r="AL61" s="267">
        <f t="shared" si="10"/>
        <v>-2.5119047619043045E-2</v>
      </c>
    </row>
    <row r="62" spans="28:38">
      <c r="AB62" s="286">
        <v>35217</v>
      </c>
      <c r="AC62" s="93">
        <v>6</v>
      </c>
      <c r="AD62" s="282">
        <v>72.07011458333335</v>
      </c>
      <c r="AE62" s="285">
        <v>-3.1862575757575791E-2</v>
      </c>
      <c r="AF62" s="285">
        <v>2.2659090909090922E-5</v>
      </c>
      <c r="AG62" s="282">
        <v>48.835693824404729</v>
      </c>
      <c r="AH62" s="285">
        <v>1.8439980158730305E-2</v>
      </c>
      <c r="AI62" s="285">
        <v>-8.8878968253969466E-6</v>
      </c>
      <c r="AJ62" s="287">
        <f t="shared" si="6"/>
        <v>0</v>
      </c>
      <c r="AK62" s="267">
        <f t="shared" si="9"/>
        <v>1.3984848484852819E-2</v>
      </c>
      <c r="AL62" s="267">
        <f t="shared" si="10"/>
        <v>-0.59969246031745627</v>
      </c>
    </row>
    <row r="63" spans="28:38">
      <c r="AB63" s="286">
        <v>35247</v>
      </c>
      <c r="AC63" s="93">
        <v>7</v>
      </c>
      <c r="AD63" s="282">
        <v>69.2908837121212</v>
      </c>
      <c r="AE63" s="285">
        <v>-2.5548909090909094E-2</v>
      </c>
      <c r="AF63" s="285">
        <v>2.1196969696969699E-5</v>
      </c>
      <c r="AG63" s="282">
        <v>54.3323125</v>
      </c>
      <c r="AH63" s="285">
        <v>-1.0703333333333334E-2</v>
      </c>
      <c r="AI63" s="285">
        <v>2.3500000000000022E-5</v>
      </c>
      <c r="AJ63" s="287">
        <f t="shared" si="6"/>
        <v>0</v>
      </c>
      <c r="AK63" s="267">
        <f t="shared" si="9"/>
        <v>-0.41268484848484377</v>
      </c>
      <c r="AL63" s="267">
        <f t="shared" si="10"/>
        <v>-2.2196666666666687</v>
      </c>
    </row>
    <row r="64" spans="28:38">
      <c r="AB64" s="286">
        <v>35278</v>
      </c>
      <c r="AC64" s="93">
        <v>8</v>
      </c>
      <c r="AD64" s="282">
        <v>71.619588541666673</v>
      </c>
      <c r="AE64" s="285">
        <v>-2.6182095959595978E-2</v>
      </c>
      <c r="AF64" s="285">
        <v>2.1998737373737382E-5</v>
      </c>
      <c r="AG64" s="282">
        <v>58.948854166666692</v>
      </c>
      <c r="AH64" s="285">
        <v>-2.5806349206349263E-2</v>
      </c>
      <c r="AI64" s="285">
        <v>3.932539682539687E-5</v>
      </c>
      <c r="AJ64" s="287">
        <f t="shared" si="6"/>
        <v>0</v>
      </c>
      <c r="AK64" s="267">
        <f t="shared" si="9"/>
        <v>-0.46161363636363717</v>
      </c>
      <c r="AL64" s="267">
        <f t="shared" si="10"/>
        <v>-2.9249206349206247</v>
      </c>
    </row>
    <row r="65" spans="28:38">
      <c r="AB65" s="286">
        <v>35309</v>
      </c>
      <c r="AC65" s="93">
        <v>9</v>
      </c>
      <c r="AD65" s="282">
        <v>98.354895675505077</v>
      </c>
      <c r="AE65" s="285">
        <v>-9.5872045454545488E-2</v>
      </c>
      <c r="AF65" s="285">
        <v>6.5703282828282852E-5</v>
      </c>
      <c r="AG65" s="282">
        <v>57.817741815476083</v>
      </c>
      <c r="AH65" s="285">
        <v>-1.8745833333332976E-2</v>
      </c>
      <c r="AI65" s="285">
        <v>3.2994047619047346E-5</v>
      </c>
      <c r="AJ65" s="287">
        <f t="shared" si="6"/>
        <v>0</v>
      </c>
      <c r="AK65" s="267">
        <f t="shared" si="9"/>
        <v>0.38874494949494931</v>
      </c>
      <c r="AL65" s="267">
        <f t="shared" si="10"/>
        <v>-2.7445833333333383</v>
      </c>
    </row>
    <row r="66" spans="28:38">
      <c r="AB66" s="286">
        <v>35339</v>
      </c>
      <c r="AC66" s="93">
        <v>10</v>
      </c>
      <c r="AD66" s="282">
        <v>77.37948750000001</v>
      </c>
      <c r="AE66" s="285">
        <v>-4.9491454545454582E-2</v>
      </c>
      <c r="AF66" s="285">
        <v>3.9154545454545482E-5</v>
      </c>
      <c r="AG66" s="282">
        <v>52.684017857142813</v>
      </c>
      <c r="AH66" s="285">
        <v>-6.0057142857141395E-3</v>
      </c>
      <c r="AI66" s="285">
        <v>2.1228571428571301E-5</v>
      </c>
      <c r="AJ66" s="287">
        <f t="shared" si="6"/>
        <v>0</v>
      </c>
      <c r="AK66" s="267">
        <f t="shared" si="9"/>
        <v>-0.53249090909091024</v>
      </c>
      <c r="AL66" s="267">
        <f t="shared" si="10"/>
        <v>-2.3714285714285666</v>
      </c>
    </row>
    <row r="67" spans="28:38">
      <c r="AB67" s="286">
        <v>35370</v>
      </c>
      <c r="AC67" s="93">
        <v>11</v>
      </c>
      <c r="AD67" s="282">
        <v>80.871967329545427</v>
      </c>
      <c r="AE67" s="285">
        <v>-5.0202196969696945E-2</v>
      </c>
      <c r="AF67" s="285">
        <v>3.8867424242424237E-5</v>
      </c>
      <c r="AG67" s="282">
        <v>53.120829613095289</v>
      </c>
      <c r="AH67" s="285">
        <v>-4.9378968253970005E-3</v>
      </c>
      <c r="AI67" s="285">
        <v>2.4339285714285857E-5</v>
      </c>
      <c r="AJ67" s="287">
        <f t="shared" si="6"/>
        <v>0</v>
      </c>
      <c r="AK67" s="267">
        <f t="shared" si="9"/>
        <v>-0.42121969696970041</v>
      </c>
      <c r="AL67" s="267">
        <f t="shared" si="10"/>
        <v>-2.9137103174603283</v>
      </c>
    </row>
    <row r="68" spans="28:38">
      <c r="AB68" s="286">
        <v>35400</v>
      </c>
      <c r="AC68" s="93">
        <v>12</v>
      </c>
      <c r="AD68" s="282">
        <v>70.746069444444572</v>
      </c>
      <c r="AE68" s="285">
        <v>-1.4149898989899384E-2</v>
      </c>
      <c r="AF68" s="285">
        <v>1.0232323232323529E-5</v>
      </c>
      <c r="AG68" s="282">
        <v>56.580773809523777</v>
      </c>
      <c r="AH68" s="285">
        <v>-1.344444444444433E-2</v>
      </c>
      <c r="AI68" s="285">
        <v>3.038095238095229E-5</v>
      </c>
      <c r="AJ68" s="287">
        <f t="shared" si="6"/>
        <v>0</v>
      </c>
      <c r="AK68" s="267">
        <f t="shared" si="9"/>
        <v>-1.7535353535350851E-2</v>
      </c>
      <c r="AL68" s="267">
        <f t="shared" si="10"/>
        <v>-2.9088888888888818</v>
      </c>
    </row>
    <row r="69" spans="28:38">
      <c r="AB69" s="286">
        <v>35431</v>
      </c>
      <c r="AC69" s="93">
        <v>1</v>
      </c>
      <c r="AD69" s="282">
        <v>103.33169412878789</v>
      </c>
      <c r="AE69" s="285">
        <v>-8.4925303030303018E-2</v>
      </c>
      <c r="AF69" s="285">
        <v>5.3840909090909064E-5</v>
      </c>
      <c r="AG69" s="282">
        <v>68.950089285714299</v>
      </c>
      <c r="AH69" s="285">
        <v>-1.3953571428571421E-2</v>
      </c>
      <c r="AI69" s="285">
        <v>1.3142857142857104E-5</v>
      </c>
      <c r="AJ69" s="287">
        <f t="shared" si="6"/>
        <v>0</v>
      </c>
      <c r="AK69" s="267">
        <f t="shared" si="9"/>
        <v>0.95480303030302593</v>
      </c>
      <c r="AL69" s="267">
        <f t="shared" si="10"/>
        <v>-0.44464285714286689</v>
      </c>
    </row>
    <row r="70" spans="28:38">
      <c r="AB70" s="286">
        <v>35462</v>
      </c>
      <c r="AC70" s="93">
        <v>2</v>
      </c>
      <c r="AD70" s="282">
        <v>139.69508854166676</v>
      </c>
      <c r="AE70" s="285">
        <v>-0.16387765151515177</v>
      </c>
      <c r="AF70" s="285">
        <v>9.4443181818181987E-5</v>
      </c>
      <c r="AG70" s="282">
        <v>84.904263392857175</v>
      </c>
      <c r="AH70" s="285">
        <v>-4.3758333333333475E-2</v>
      </c>
      <c r="AI70" s="285">
        <v>2.5797619047619183E-5</v>
      </c>
      <c r="AJ70" s="287">
        <f t="shared" si="6"/>
        <v>0</v>
      </c>
      <c r="AK70" s="267">
        <f t="shared" si="9"/>
        <v>3.1657196969697168</v>
      </c>
      <c r="AL70" s="267">
        <f t="shared" si="10"/>
        <v>0.76416666666665378</v>
      </c>
    </row>
    <row r="71" spans="28:38">
      <c r="AB71" s="286">
        <v>35490</v>
      </c>
      <c r="AC71" s="93">
        <v>3</v>
      </c>
      <c r="AD71" s="282">
        <v>145.68177793560614</v>
      </c>
      <c r="AE71" s="285">
        <v>-0.1554706818181821</v>
      </c>
      <c r="AF71" s="285">
        <v>7.2746212121212344E-5</v>
      </c>
      <c r="AG71" s="282">
        <v>124.38534151785721</v>
      </c>
      <c r="AH71" s="285">
        <v>-0.14390083333333367</v>
      </c>
      <c r="AI71" s="285">
        <v>8.6072619047619398E-5</v>
      </c>
      <c r="AJ71" s="287">
        <f t="shared" si="6"/>
        <v>0</v>
      </c>
      <c r="AK71" s="267">
        <f t="shared" si="9"/>
        <v>5.362598484848462</v>
      </c>
      <c r="AL71" s="267">
        <f t="shared" si="10"/>
        <v>2.3399166666666815</v>
      </c>
    </row>
    <row r="72" spans="28:38">
      <c r="AB72" s="286">
        <v>35521</v>
      </c>
      <c r="AC72" s="93">
        <v>4</v>
      </c>
      <c r="AD72" s="282">
        <v>133.93842386363636</v>
      </c>
      <c r="AE72" s="285">
        <v>-0.10658660606060601</v>
      </c>
      <c r="AF72" s="285">
        <v>3.4475757575757488E-5</v>
      </c>
      <c r="AG72" s="282">
        <v>97.00624107142859</v>
      </c>
      <c r="AH72" s="285">
        <v>-3.8454761904761998E-2</v>
      </c>
      <c r="AI72" s="285">
        <v>-1.5714285714275478E-7</v>
      </c>
      <c r="AJ72" s="287">
        <f t="shared" si="6"/>
        <v>0</v>
      </c>
      <c r="AK72" s="267">
        <f t="shared" si="9"/>
        <v>5.8320545454545538</v>
      </c>
      <c r="AL72" s="267">
        <f t="shared" si="10"/>
        <v>3.8674761904761965</v>
      </c>
    </row>
    <row r="73" spans="28:38">
      <c r="AB73" s="286">
        <v>35551</v>
      </c>
      <c r="AC73" s="93">
        <v>5</v>
      </c>
      <c r="AD73" s="282">
        <v>140.46511931818185</v>
      </c>
      <c r="AE73" s="285">
        <v>-0.14350424242424248</v>
      </c>
      <c r="AF73" s="285">
        <v>7.9590909090909134E-5</v>
      </c>
      <c r="AG73" s="282">
        <v>117.01232142857145</v>
      </c>
      <c r="AH73" s="285">
        <v>-9.155595238095246E-2</v>
      </c>
      <c r="AI73" s="285">
        <v>4.4000000000000094E-5</v>
      </c>
      <c r="AJ73" s="287">
        <f t="shared" ref="AJ73:AJ136" si="13">VLOOKUP(YEAR(AB73),S$8:T$40,2)*VLOOKUP(AC73,U$8:V$19,2)</f>
        <v>0</v>
      </c>
      <c r="AK73" s="267">
        <f t="shared" si="9"/>
        <v>3.2076969696969968</v>
      </c>
      <c r="AL73" s="267">
        <f t="shared" si="10"/>
        <v>2.9955952380952056</v>
      </c>
    </row>
    <row r="74" spans="28:38">
      <c r="AB74" s="286">
        <v>35582</v>
      </c>
      <c r="AC74" s="93">
        <v>6</v>
      </c>
      <c r="AD74" s="282">
        <v>128.6118707386363</v>
      </c>
      <c r="AE74" s="285">
        <v>-9.984280303030281E-2</v>
      </c>
      <c r="AF74" s="285">
        <v>4.5397727272727128E-5</v>
      </c>
      <c r="AG74" s="282">
        <v>127.62732886904763</v>
      </c>
      <c r="AH74" s="285">
        <v>-0.12793055555555566</v>
      </c>
      <c r="AI74" s="285">
        <v>7.673412698412714E-5</v>
      </c>
      <c r="AJ74" s="287">
        <f t="shared" si="13"/>
        <v>0</v>
      </c>
      <c r="AK74" s="267">
        <f t="shared" ref="AK74:AK137" si="14">((AD74+AE74*($C$12-25)+AF74*($C$12-25)^2-(AD74+AE74*($C$12+25)+AF74*($C$12+25)^2)))/(50/100)</f>
        <v>3.6285984848484816</v>
      </c>
      <c r="AL74" s="267">
        <f t="shared" ref="AL74:AL137" si="15">((AG74+AH74*($C$12-25)+AI74*($C$12-25)^2-(AG74+AH74*($C$12+25)+AI74*($C$12+25)^2)))/(50/100)</f>
        <v>2.0502777777778078</v>
      </c>
    </row>
    <row r="75" spans="28:38">
      <c r="AB75" s="286">
        <v>35612</v>
      </c>
      <c r="AC75" s="93">
        <v>7</v>
      </c>
      <c r="AD75" s="282">
        <v>158.27535373390231</v>
      </c>
      <c r="AE75" s="285">
        <v>-0.17542581709968513</v>
      </c>
      <c r="AF75" s="285">
        <v>9.9754018301812682E-5</v>
      </c>
      <c r="AG75" s="282">
        <v>95.166118303571508</v>
      </c>
      <c r="AH75" s="285">
        <v>-1.5649642857143171E-2</v>
      </c>
      <c r="AI75" s="285">
        <v>-1.0236904761904494E-5</v>
      </c>
      <c r="AJ75" s="287">
        <f t="shared" si="13"/>
        <v>0</v>
      </c>
      <c r="AK75" s="267">
        <f t="shared" si="14"/>
        <v>3.5770191477147364</v>
      </c>
      <c r="AL75" s="267">
        <f t="shared" si="15"/>
        <v>2.9981309523809614</v>
      </c>
    </row>
    <row r="76" spans="28:38">
      <c r="AB76" s="286">
        <v>35643</v>
      </c>
      <c r="AC76" s="93">
        <v>8</v>
      </c>
      <c r="AD76" s="282">
        <v>162.59084327651519</v>
      </c>
      <c r="AE76" s="285">
        <v>-0.19549800505050513</v>
      </c>
      <c r="AF76" s="285">
        <v>1.1383964646464651E-4</v>
      </c>
      <c r="AG76" s="282">
        <v>129.78840401785723</v>
      </c>
      <c r="AH76" s="285">
        <v>-0.1358410714285718</v>
      </c>
      <c r="AI76" s="285">
        <v>8.7886904761905118E-5</v>
      </c>
      <c r="AJ76" s="287">
        <f t="shared" si="13"/>
        <v>0</v>
      </c>
      <c r="AK76" s="267">
        <f t="shared" si="14"/>
        <v>3.6122499999999889</v>
      </c>
      <c r="AL76" s="267">
        <f t="shared" si="15"/>
        <v>1.2799404761904611</v>
      </c>
    </row>
    <row r="77" spans="28:38">
      <c r="AB77" s="286">
        <v>35674</v>
      </c>
      <c r="AC77" s="93">
        <v>9</v>
      </c>
      <c r="AD77" s="282">
        <v>149.76334138257573</v>
      </c>
      <c r="AE77" s="285">
        <v>-0.16108830808080801</v>
      </c>
      <c r="AF77" s="285">
        <v>9.0036616161616104E-5</v>
      </c>
      <c r="AG77" s="282">
        <v>107.69784970238103</v>
      </c>
      <c r="AH77" s="285">
        <v>-6.2055158730159085E-2</v>
      </c>
      <c r="AI77" s="285">
        <v>2.5932539682539999E-5</v>
      </c>
      <c r="AJ77" s="287">
        <f t="shared" si="13"/>
        <v>0</v>
      </c>
      <c r="AK77" s="267">
        <f t="shared" si="14"/>
        <v>3.503704545454525</v>
      </c>
      <c r="AL77" s="267">
        <f t="shared" si="15"/>
        <v>2.5749603174602953</v>
      </c>
    </row>
    <row r="78" spans="28:38">
      <c r="AB78" s="286">
        <v>35704</v>
      </c>
      <c r="AC78" s="93">
        <v>10</v>
      </c>
      <c r="AD78" s="282">
        <v>158.49805643939393</v>
      </c>
      <c r="AE78" s="285">
        <v>-0.18613733333333335</v>
      </c>
      <c r="AF78" s="285">
        <v>1.0142727272727275E-4</v>
      </c>
      <c r="AG78" s="282">
        <v>126.94637276785718</v>
      </c>
      <c r="AH78" s="285">
        <v>-0.13813392857142878</v>
      </c>
      <c r="AI78" s="285">
        <v>8.6175000000000211E-5</v>
      </c>
      <c r="AJ78" s="287">
        <f t="shared" si="13"/>
        <v>0</v>
      </c>
      <c r="AK78" s="267">
        <f t="shared" si="14"/>
        <v>4.4139151515151411</v>
      </c>
      <c r="AL78" s="267">
        <f t="shared" si="15"/>
        <v>1.748892857142863</v>
      </c>
    </row>
    <row r="79" spans="28:38">
      <c r="AB79" s="286">
        <v>35735</v>
      </c>
      <c r="AC79" s="93">
        <v>11</v>
      </c>
      <c r="AD79" s="282">
        <v>153.68156818181822</v>
      </c>
      <c r="AE79" s="285">
        <v>-0.19356595959595971</v>
      </c>
      <c r="AF79" s="285">
        <v>1.1822222222222231E-4</v>
      </c>
      <c r="AG79" s="282">
        <v>97.413519345238186</v>
      </c>
      <c r="AH79" s="285">
        <v>-6.2830158730159055E-2</v>
      </c>
      <c r="AI79" s="285">
        <v>3.9591269841270125E-5</v>
      </c>
      <c r="AJ79" s="287">
        <f t="shared" si="13"/>
        <v>0</v>
      </c>
      <c r="AK79" s="267">
        <f t="shared" si="14"/>
        <v>2.8054848484848662</v>
      </c>
      <c r="AL79" s="267">
        <f t="shared" si="15"/>
        <v>0.74023809523805539</v>
      </c>
    </row>
    <row r="80" spans="28:38">
      <c r="AB80" s="286">
        <v>35765</v>
      </c>
      <c r="AC80" s="93">
        <v>12</v>
      </c>
      <c r="AD80" s="282">
        <v>142.4394420770202</v>
      </c>
      <c r="AE80" s="285">
        <v>-0.16206088383838377</v>
      </c>
      <c r="AF80" s="285">
        <v>9.925126262626255E-5</v>
      </c>
      <c r="AG80" s="282">
        <v>86.702775297619098</v>
      </c>
      <c r="AH80" s="285">
        <v>-2.6300396825396994E-2</v>
      </c>
      <c r="AI80" s="285">
        <v>1.2067460317460457E-5</v>
      </c>
      <c r="AJ80" s="287">
        <f t="shared" si="13"/>
        <v>0</v>
      </c>
      <c r="AK80" s="267">
        <f t="shared" si="14"/>
        <v>2.3109116161616043</v>
      </c>
      <c r="AL80" s="267">
        <f t="shared" si="15"/>
        <v>0.94059523809522716</v>
      </c>
    </row>
    <row r="81" spans="28:38">
      <c r="AB81" s="286">
        <v>35796</v>
      </c>
      <c r="AC81" s="93">
        <v>1</v>
      </c>
      <c r="AD81" s="282">
        <v>129.37338352272735</v>
      </c>
      <c r="AE81" s="285">
        <v>-0.10483621212121232</v>
      </c>
      <c r="AF81" s="285">
        <v>4.735606060606075E-5</v>
      </c>
      <c r="AG81" s="282">
        <v>112.31083705357136</v>
      </c>
      <c r="AH81" s="285">
        <v>-9.3541071428571224E-2</v>
      </c>
      <c r="AI81" s="285">
        <v>5.5898809523809375E-5</v>
      </c>
      <c r="AJ81" s="287">
        <f t="shared" si="13"/>
        <v>0</v>
      </c>
      <c r="AK81" s="267">
        <f t="shared" si="14"/>
        <v>3.8537727272727409</v>
      </c>
      <c r="AL81" s="267">
        <f t="shared" si="15"/>
        <v>1.5282738095238244</v>
      </c>
    </row>
    <row r="82" spans="28:38">
      <c r="AB82" s="286">
        <v>35827</v>
      </c>
      <c r="AC82" s="93">
        <v>2</v>
      </c>
      <c r="AD82" s="282">
        <v>156.4192410037879</v>
      </c>
      <c r="AE82" s="285">
        <v>-0.16879053030303032</v>
      </c>
      <c r="AF82" s="285">
        <v>8.2859848484848503E-5</v>
      </c>
      <c r="AG82" s="282">
        <v>139.25771577380965</v>
      </c>
      <c r="AH82" s="285">
        <v>-0.15278333333333374</v>
      </c>
      <c r="AI82" s="285">
        <v>8.2035714285714665E-5</v>
      </c>
      <c r="AJ82" s="287">
        <f t="shared" si="13"/>
        <v>0</v>
      </c>
      <c r="AK82" s="267">
        <f t="shared" si="14"/>
        <v>5.2786742424242448</v>
      </c>
      <c r="AL82" s="267">
        <f t="shared" si="15"/>
        <v>3.7933333333333223</v>
      </c>
    </row>
    <row r="83" spans="28:38">
      <c r="AB83" s="286">
        <v>35855</v>
      </c>
      <c r="AC83" s="93">
        <v>3</v>
      </c>
      <c r="AD83" s="282">
        <v>171.71138446969698</v>
      </c>
      <c r="AE83" s="285">
        <v>-0.20284505050505056</v>
      </c>
      <c r="AF83" s="285">
        <v>9.969191919191924E-5</v>
      </c>
      <c r="AG83" s="282">
        <v>133.28540178571453</v>
      </c>
      <c r="AH83" s="285">
        <v>-0.13550119047619133</v>
      </c>
      <c r="AI83" s="285">
        <v>6.9500000000000754E-5</v>
      </c>
      <c r="AJ83" s="287">
        <f t="shared" si="13"/>
        <v>0</v>
      </c>
      <c r="AK83" s="267">
        <f t="shared" si="14"/>
        <v>6.3276363636363726</v>
      </c>
      <c r="AL83" s="267">
        <f t="shared" si="15"/>
        <v>3.8201190476189879</v>
      </c>
    </row>
    <row r="84" spans="28:38">
      <c r="AB84" s="286">
        <v>35886</v>
      </c>
      <c r="AC84" s="93">
        <v>4</v>
      </c>
      <c r="AD84" s="282">
        <v>183.78467499999999</v>
      </c>
      <c r="AE84" s="285">
        <v>-0.2426465454545455</v>
      </c>
      <c r="AF84" s="285">
        <v>1.3154545454545461E-4</v>
      </c>
      <c r="AG84" s="282">
        <v>138.08603571428574</v>
      </c>
      <c r="AH84" s="285">
        <v>-0.1419466666666668</v>
      </c>
      <c r="AI84" s="285">
        <v>7.0571428571428711E-5</v>
      </c>
      <c r="AJ84" s="287">
        <f t="shared" si="13"/>
        <v>0</v>
      </c>
      <c r="AK84" s="267">
        <f t="shared" si="14"/>
        <v>5.8482909090909061</v>
      </c>
      <c r="AL84" s="267">
        <f t="shared" si="15"/>
        <v>4.3146666666666533</v>
      </c>
    </row>
    <row r="85" spans="28:38">
      <c r="AB85" s="286">
        <v>35916</v>
      </c>
      <c r="AC85" s="93">
        <v>5</v>
      </c>
      <c r="AD85" s="282">
        <v>165.76599116161623</v>
      </c>
      <c r="AE85" s="285">
        <v>-0.18141787878787902</v>
      </c>
      <c r="AF85" s="285">
        <v>8.2717171717171868E-5</v>
      </c>
      <c r="AG85" s="282">
        <v>136.87032366071429</v>
      </c>
      <c r="AH85" s="285">
        <v>-0.13694226190476202</v>
      </c>
      <c r="AI85" s="285">
        <v>6.2672619047619195E-5</v>
      </c>
      <c r="AJ85" s="287">
        <f t="shared" si="13"/>
        <v>0</v>
      </c>
      <c r="AK85" s="267">
        <f t="shared" si="14"/>
        <v>6.5613838383838186</v>
      </c>
      <c r="AL85" s="267">
        <f t="shared" si="15"/>
        <v>4.9200595238094991</v>
      </c>
    </row>
    <row r="86" spans="28:38">
      <c r="AB86" s="286">
        <v>35947</v>
      </c>
      <c r="AC86" s="93">
        <v>6</v>
      </c>
      <c r="AD86" s="282">
        <v>132.07951893939392</v>
      </c>
      <c r="AE86" s="285">
        <v>-0.1231587878787878</v>
      </c>
      <c r="AF86" s="285">
        <v>6.1181818181818109E-5</v>
      </c>
      <c r="AG86" s="282">
        <v>109.39309151785699</v>
      </c>
      <c r="AH86" s="285">
        <v>-9.321369047619002E-2</v>
      </c>
      <c r="AI86" s="285">
        <v>5.291071428571395E-5</v>
      </c>
      <c r="AJ86" s="287">
        <f t="shared" si="13"/>
        <v>0</v>
      </c>
      <c r="AK86" s="267">
        <f t="shared" si="14"/>
        <v>3.7504242424242307</v>
      </c>
      <c r="AL86" s="267">
        <f t="shared" si="15"/>
        <v>1.9138690476190447</v>
      </c>
    </row>
    <row r="87" spans="28:38">
      <c r="AB87" s="286">
        <v>35977</v>
      </c>
      <c r="AC87" s="93">
        <v>7</v>
      </c>
      <c r="AD87" s="282">
        <v>127.39897130681823</v>
      </c>
      <c r="AE87" s="285">
        <v>-0.13722406565656578</v>
      </c>
      <c r="AF87" s="285">
        <v>7.9603282828282919E-5</v>
      </c>
      <c r="AG87" s="282">
        <v>97.58675595238077</v>
      </c>
      <c r="AH87" s="285">
        <v>-7.7553968253967653E-2</v>
      </c>
      <c r="AI87" s="285">
        <v>4.7044444444443981E-5</v>
      </c>
      <c r="AJ87" s="287">
        <f t="shared" si="13"/>
        <v>0</v>
      </c>
      <c r="AK87" s="267">
        <f t="shared" si="14"/>
        <v>2.5779469696969954</v>
      </c>
      <c r="AL87" s="267">
        <f t="shared" si="15"/>
        <v>1.1691746031746106</v>
      </c>
    </row>
    <row r="88" spans="28:38">
      <c r="AB88" s="286">
        <v>36008</v>
      </c>
      <c r="AC88" s="93">
        <v>8</v>
      </c>
      <c r="AD88" s="282">
        <v>127.19475757575761</v>
      </c>
      <c r="AE88" s="285">
        <v>-0.14073909090909104</v>
      </c>
      <c r="AF88" s="285">
        <v>8.1515151515151616E-5</v>
      </c>
      <c r="AG88" s="282">
        <v>109.0548437500001</v>
      </c>
      <c r="AH88" s="285">
        <v>-0.11434285714285758</v>
      </c>
      <c r="AI88" s="285">
        <v>7.1488095238095639E-5</v>
      </c>
      <c r="AJ88" s="287">
        <f t="shared" si="13"/>
        <v>0</v>
      </c>
      <c r="AK88" s="267">
        <f t="shared" si="14"/>
        <v>2.6617878787878908</v>
      </c>
      <c r="AL88" s="267">
        <f t="shared" si="15"/>
        <v>1.4259523809523529</v>
      </c>
    </row>
    <row r="89" spans="28:38">
      <c r="AB89" s="286">
        <v>36039</v>
      </c>
      <c r="AC89" s="93">
        <v>9</v>
      </c>
      <c r="AD89" s="282">
        <v>100.93233352272728</v>
      </c>
      <c r="AE89" s="285">
        <v>-7.1921666666666717E-2</v>
      </c>
      <c r="AF89" s="285">
        <v>3.3743939393939425E-5</v>
      </c>
      <c r="AG89" s="282">
        <v>94.127875744047572</v>
      </c>
      <c r="AH89" s="285">
        <v>-7.9907103174603075E-2</v>
      </c>
      <c r="AI89" s="285">
        <v>5.0690873015872969E-5</v>
      </c>
      <c r="AJ89" s="287">
        <f t="shared" si="13"/>
        <v>0</v>
      </c>
      <c r="AK89" s="267">
        <f t="shared" si="14"/>
        <v>2.4680151515151465</v>
      </c>
      <c r="AL89" s="267">
        <f t="shared" si="15"/>
        <v>0.89398809523811451</v>
      </c>
    </row>
    <row r="90" spans="28:38">
      <c r="AB90" s="286">
        <v>36069</v>
      </c>
      <c r="AC90" s="93">
        <v>10</v>
      </c>
      <c r="AD90" s="282">
        <v>137.72870549242424</v>
      </c>
      <c r="AE90" s="285">
        <v>-0.17473661616161615</v>
      </c>
      <c r="AF90" s="285">
        <v>1.0801262626262625E-4</v>
      </c>
      <c r="AG90" s="282">
        <v>101.38729910714295</v>
      </c>
      <c r="AH90" s="285">
        <v>-0.10176785714285749</v>
      </c>
      <c r="AI90" s="285">
        <v>7.1940476190476515E-5</v>
      </c>
      <c r="AJ90" s="287">
        <f t="shared" si="13"/>
        <v>0</v>
      </c>
      <c r="AK90" s="267">
        <f t="shared" si="14"/>
        <v>2.351893939393932</v>
      </c>
      <c r="AL90" s="267">
        <f t="shared" si="15"/>
        <v>0.10511904761901292</v>
      </c>
    </row>
    <row r="91" spans="28:38">
      <c r="AB91" s="286">
        <v>36100</v>
      </c>
      <c r="AC91" s="93">
        <v>11</v>
      </c>
      <c r="AD91" s="282">
        <v>155.49580666035357</v>
      </c>
      <c r="AE91" s="285">
        <v>-0.21664295454545468</v>
      </c>
      <c r="AF91" s="285">
        <v>1.3096085858585869E-4</v>
      </c>
      <c r="AG91" s="282">
        <v>118.11156622023805</v>
      </c>
      <c r="AH91" s="285">
        <v>-0.14142718253968251</v>
      </c>
      <c r="AI91" s="285">
        <v>9.317658730158733E-5</v>
      </c>
      <c r="AJ91" s="287">
        <f t="shared" si="13"/>
        <v>0</v>
      </c>
      <c r="AK91" s="267">
        <f t="shared" si="14"/>
        <v>3.3297752525252804</v>
      </c>
      <c r="AL91" s="267">
        <f t="shared" si="15"/>
        <v>1.0979960317460495</v>
      </c>
    </row>
    <row r="92" spans="28:38">
      <c r="AB92" s="286">
        <v>36130</v>
      </c>
      <c r="AC92" s="93">
        <v>12</v>
      </c>
      <c r="AD92" s="282">
        <v>166.08639024621215</v>
      </c>
      <c r="AE92" s="285">
        <v>-0.24818671212121216</v>
      </c>
      <c r="AF92" s="285">
        <v>1.5326590909090911E-4</v>
      </c>
      <c r="AG92" s="282">
        <v>111.59789732142859</v>
      </c>
      <c r="AH92" s="285">
        <v>-0.12375023809523822</v>
      </c>
      <c r="AI92" s="285">
        <v>7.7754761904762061E-5</v>
      </c>
      <c r="AJ92" s="287">
        <f t="shared" si="13"/>
        <v>0</v>
      </c>
      <c r="AK92" s="267">
        <f t="shared" si="14"/>
        <v>3.3614439393939506</v>
      </c>
      <c r="AL92" s="267">
        <f t="shared" si="15"/>
        <v>1.4893571428571164</v>
      </c>
    </row>
    <row r="93" spans="28:38">
      <c r="AB93" s="286">
        <v>36161</v>
      </c>
      <c r="AC93" s="93">
        <v>1</v>
      </c>
      <c r="AD93" s="282">
        <v>147.70644554924246</v>
      </c>
      <c r="AE93" s="285">
        <v>-0.17340477272727278</v>
      </c>
      <c r="AF93" s="285">
        <v>9.6556818181818197E-5</v>
      </c>
      <c r="AG93" s="282">
        <v>128.94772321428565</v>
      </c>
      <c r="AH93" s="285">
        <v>-0.15668095238095223</v>
      </c>
      <c r="AI93" s="285">
        <v>1.0159523809523802E-4</v>
      </c>
      <c r="AJ93" s="287">
        <f t="shared" si="13"/>
        <v>0</v>
      </c>
      <c r="AK93" s="267">
        <f t="shared" si="14"/>
        <v>3.8225227272727693</v>
      </c>
      <c r="AL93" s="267">
        <f t="shared" si="15"/>
        <v>1.4447619047619185</v>
      </c>
    </row>
    <row r="94" spans="28:38">
      <c r="AB94" s="286">
        <v>36192</v>
      </c>
      <c r="AC94" s="93">
        <v>2</v>
      </c>
      <c r="AD94" s="282">
        <v>163.58549952651515</v>
      </c>
      <c r="AE94" s="285">
        <v>-0.20778098484848487</v>
      </c>
      <c r="AF94" s="285">
        <v>1.1612500000000003E-4</v>
      </c>
      <c r="AG94" s="282">
        <v>139.32708705357135</v>
      </c>
      <c r="AH94" s="285">
        <v>-0.1819005952380951</v>
      </c>
      <c r="AI94" s="285">
        <v>1.1847023809523806E-4</v>
      </c>
      <c r="AJ94" s="287">
        <f t="shared" si="13"/>
        <v>0</v>
      </c>
      <c r="AK94" s="267">
        <f t="shared" si="14"/>
        <v>4.5205984848484206</v>
      </c>
      <c r="AL94" s="267">
        <f t="shared" si="15"/>
        <v>1.6042261904761972</v>
      </c>
    </row>
    <row r="95" spans="28:38">
      <c r="AB95" s="286">
        <v>36220</v>
      </c>
      <c r="AC95" s="93">
        <v>3</v>
      </c>
      <c r="AD95" s="282">
        <v>162.9865765151516</v>
      </c>
      <c r="AE95" s="285">
        <v>-0.19493539393939416</v>
      </c>
      <c r="AF95" s="285">
        <v>9.7545454545454704E-5</v>
      </c>
      <c r="AG95" s="282">
        <v>129.89937946428586</v>
      </c>
      <c r="AH95" s="285">
        <v>-0.14244880952381006</v>
      </c>
      <c r="AI95" s="285">
        <v>7.8783333333333816E-5</v>
      </c>
      <c r="AJ95" s="287">
        <f t="shared" si="13"/>
        <v>0</v>
      </c>
      <c r="AK95" s="267">
        <f t="shared" si="14"/>
        <v>5.8371757575757783</v>
      </c>
      <c r="AL95" s="267">
        <f t="shared" si="15"/>
        <v>3.2152142857142962</v>
      </c>
    </row>
    <row r="96" spans="28:38">
      <c r="AB96" s="286">
        <v>36251</v>
      </c>
      <c r="AC96" s="93">
        <v>4</v>
      </c>
      <c r="AD96" s="282">
        <v>154.19591950757584</v>
      </c>
      <c r="AE96" s="285">
        <v>-0.16710318181818207</v>
      </c>
      <c r="AF96" s="285">
        <v>7.5674242424242607E-5</v>
      </c>
      <c r="AG96" s="282">
        <v>119.85830357142851</v>
      </c>
      <c r="AH96" s="285">
        <v>-8.9184523809523616E-2</v>
      </c>
      <c r="AI96" s="285">
        <v>2.3428571428571294E-5</v>
      </c>
      <c r="AJ96" s="287">
        <f t="shared" si="13"/>
        <v>0</v>
      </c>
      <c r="AK96" s="267">
        <f t="shared" si="14"/>
        <v>6.1159242424242848</v>
      </c>
      <c r="AL96" s="267">
        <f t="shared" si="15"/>
        <v>5.6384523809524012</v>
      </c>
    </row>
    <row r="97" spans="28:38">
      <c r="AB97" s="286">
        <v>36281</v>
      </c>
      <c r="AC97" s="93">
        <v>5</v>
      </c>
      <c r="AD97" s="282">
        <v>142.26923816287888</v>
      </c>
      <c r="AE97" s="285">
        <v>-0.13384098484848517</v>
      </c>
      <c r="AF97" s="285">
        <v>5.3488636363636611E-5</v>
      </c>
      <c r="AG97" s="282">
        <v>105.46172619047611</v>
      </c>
      <c r="AH97" s="285">
        <v>-5.8148809523809249E-2</v>
      </c>
      <c r="AI97" s="285">
        <v>8.3809523809521569E-6</v>
      </c>
      <c r="AJ97" s="287">
        <f t="shared" si="13"/>
        <v>0</v>
      </c>
      <c r="AK97" s="267">
        <f t="shared" si="14"/>
        <v>5.8956893939393922</v>
      </c>
      <c r="AL97" s="267">
        <f t="shared" si="15"/>
        <v>4.6415476190476284</v>
      </c>
    </row>
    <row r="98" spans="28:38">
      <c r="AB98" s="286">
        <v>36312</v>
      </c>
      <c r="AC98" s="93">
        <v>6</v>
      </c>
      <c r="AD98" s="282">
        <v>112.79185378787885</v>
      </c>
      <c r="AE98" s="285">
        <v>-5.5508060606060734E-2</v>
      </c>
      <c r="AF98" s="285">
        <v>1.0272727272727372E-5</v>
      </c>
      <c r="AG98" s="282">
        <v>107.63789136904768</v>
      </c>
      <c r="AH98" s="285">
        <v>-6.8638650793651057E-2</v>
      </c>
      <c r="AI98" s="285">
        <v>2.6653174603174828E-5</v>
      </c>
      <c r="AJ98" s="287">
        <f t="shared" si="13"/>
        <v>0</v>
      </c>
      <c r="AK98" s="267">
        <f t="shared" si="14"/>
        <v>4.1126242424242321</v>
      </c>
      <c r="AL98" s="267">
        <f t="shared" si="15"/>
        <v>3.1324206349206349</v>
      </c>
    </row>
    <row r="99" spans="28:38">
      <c r="AB99" s="286">
        <v>36342</v>
      </c>
      <c r="AC99" s="93">
        <v>7</v>
      </c>
      <c r="AD99" s="282">
        <v>162.85252326388886</v>
      </c>
      <c r="AE99" s="285">
        <v>-0.20052864141414134</v>
      </c>
      <c r="AF99" s="285">
        <v>1.1275530303030296E-4</v>
      </c>
      <c r="AG99" s="282">
        <v>114.51500148809521</v>
      </c>
      <c r="AH99" s="285">
        <v>-9.5229999999999954E-2</v>
      </c>
      <c r="AI99" s="285">
        <v>5.4296031746031751E-5</v>
      </c>
      <c r="AJ99" s="287">
        <f t="shared" si="13"/>
        <v>0</v>
      </c>
      <c r="AK99" s="267">
        <f t="shared" si="14"/>
        <v>4.2671217171717331</v>
      </c>
      <c r="AL99" s="267">
        <f t="shared" si="15"/>
        <v>1.9215555555555284</v>
      </c>
    </row>
    <row r="100" spans="28:38">
      <c r="AB100" s="286">
        <v>36373</v>
      </c>
      <c r="AC100" s="93">
        <v>8</v>
      </c>
      <c r="AD100" s="282">
        <v>149.69626199494962</v>
      </c>
      <c r="AE100" s="285">
        <v>-0.16004848484848525</v>
      </c>
      <c r="AF100" s="285">
        <v>8.3823232323232606E-5</v>
      </c>
      <c r="AG100" s="282">
        <v>103.91165178571443</v>
      </c>
      <c r="AH100" s="285">
        <v>-5.2052380952381419E-2</v>
      </c>
      <c r="AI100" s="285">
        <v>1.5738095238095622E-5</v>
      </c>
      <c r="AJ100" s="287">
        <f t="shared" si="13"/>
        <v>0</v>
      </c>
      <c r="AK100" s="267">
        <f t="shared" si="14"/>
        <v>4.2695959595959323</v>
      </c>
      <c r="AL100" s="267">
        <f t="shared" si="15"/>
        <v>3.0019047619047683</v>
      </c>
    </row>
    <row r="101" spans="28:38">
      <c r="AB101" s="286">
        <v>36404</v>
      </c>
      <c r="AC101" s="93">
        <v>9</v>
      </c>
      <c r="AD101" s="282">
        <v>115.93108617424244</v>
      </c>
      <c r="AE101" s="285">
        <v>-6.5215747474747496E-2</v>
      </c>
      <c r="AF101" s="285">
        <v>2.2017676767676791E-5</v>
      </c>
      <c r="AG101" s="282">
        <v>83.689242559523734</v>
      </c>
      <c r="AH101" s="285">
        <v>1.6264365079365344E-2</v>
      </c>
      <c r="AI101" s="285">
        <v>-3.6553174603174828E-5</v>
      </c>
      <c r="AJ101" s="287">
        <f t="shared" si="13"/>
        <v>0</v>
      </c>
      <c r="AK101" s="267">
        <f t="shared" si="14"/>
        <v>3.4390999999999963</v>
      </c>
      <c r="AL101" s="267">
        <f t="shared" si="15"/>
        <v>3.4910079365079412</v>
      </c>
    </row>
    <row r="102" spans="28:38">
      <c r="AB102" s="286">
        <v>36434</v>
      </c>
      <c r="AC102" s="93">
        <v>10</v>
      </c>
      <c r="AD102" s="282">
        <v>161.60434059343436</v>
      </c>
      <c r="AE102" s="285">
        <v>-0.20079530303030307</v>
      </c>
      <c r="AF102" s="285">
        <v>1.2004292929292934E-4</v>
      </c>
      <c r="AG102" s="282">
        <v>124.11546130952382</v>
      </c>
      <c r="AH102" s="285">
        <v>-0.12885158730158736</v>
      </c>
      <c r="AI102" s="285">
        <v>8.5531746031746109E-5</v>
      </c>
      <c r="AJ102" s="287">
        <f t="shared" si="13"/>
        <v>0</v>
      </c>
      <c r="AK102" s="267">
        <f t="shared" si="14"/>
        <v>3.2735202020201939</v>
      </c>
      <c r="AL102" s="267">
        <f t="shared" si="15"/>
        <v>0.91071428571427759</v>
      </c>
    </row>
    <row r="103" spans="28:38">
      <c r="AB103" s="286">
        <v>36465</v>
      </c>
      <c r="AC103" s="93">
        <v>11</v>
      </c>
      <c r="AD103" s="282">
        <v>163.34683743686873</v>
      </c>
      <c r="AE103" s="285">
        <v>-0.19410257575757592</v>
      </c>
      <c r="AF103" s="285">
        <v>1.1313888888888904E-4</v>
      </c>
      <c r="AG103" s="282">
        <v>117.94117931547629</v>
      </c>
      <c r="AH103" s="285">
        <v>-9.5610912698413E-2</v>
      </c>
      <c r="AI103" s="285">
        <v>5.4176587301587548E-5</v>
      </c>
      <c r="AJ103" s="287">
        <f t="shared" si="13"/>
        <v>0</v>
      </c>
      <c r="AK103" s="267">
        <f t="shared" si="14"/>
        <v>3.5708131313131162</v>
      </c>
      <c r="AL103" s="267">
        <f t="shared" si="15"/>
        <v>1.9763690476190163</v>
      </c>
    </row>
    <row r="104" spans="28:38">
      <c r="AB104" s="286">
        <v>36495</v>
      </c>
      <c r="AC104" s="93">
        <v>12</v>
      </c>
      <c r="AD104" s="282">
        <v>187.09567017045461</v>
      </c>
      <c r="AE104" s="285">
        <v>-0.24429392424242441</v>
      </c>
      <c r="AF104" s="285">
        <v>1.4428712121212131E-4</v>
      </c>
      <c r="AG104" s="282">
        <v>126.17997023809522</v>
      </c>
      <c r="AH104" s="285">
        <v>-9.5726587301587326E-2</v>
      </c>
      <c r="AI104" s="285">
        <v>4.5441269841269901E-5</v>
      </c>
      <c r="AJ104" s="287">
        <f t="shared" si="13"/>
        <v>0</v>
      </c>
      <c r="AK104" s="267">
        <f t="shared" si="14"/>
        <v>4.2291954545453905</v>
      </c>
      <c r="AL104" s="267">
        <f t="shared" si="15"/>
        <v>3.2108809523809612</v>
      </c>
    </row>
    <row r="105" spans="28:38">
      <c r="AB105" s="286">
        <v>36526</v>
      </c>
      <c r="AC105" s="93">
        <v>1</v>
      </c>
      <c r="AD105" s="282">
        <v>184.07672585227277</v>
      </c>
      <c r="AE105" s="285">
        <v>-0.2265371969696971</v>
      </c>
      <c r="AF105" s="285">
        <v>1.2734469696969704E-4</v>
      </c>
      <c r="AG105" s="282">
        <v>151.58581026785708</v>
      </c>
      <c r="AH105" s="285">
        <v>-0.16365583333333317</v>
      </c>
      <c r="AI105" s="285">
        <v>9.1522619047618961E-5</v>
      </c>
      <c r="AJ105" s="287">
        <f t="shared" si="13"/>
        <v>0</v>
      </c>
      <c r="AK105" s="267">
        <f t="shared" si="14"/>
        <v>4.8254621212121549</v>
      </c>
      <c r="AL105" s="267">
        <f t="shared" si="15"/>
        <v>3.5524166666666588</v>
      </c>
    </row>
    <row r="106" spans="28:38">
      <c r="AB106" s="286">
        <v>36557</v>
      </c>
      <c r="AC106" s="93">
        <v>2</v>
      </c>
      <c r="AD106" s="282">
        <v>181.27398532196977</v>
      </c>
      <c r="AE106" s="285">
        <v>-0.21325416666666694</v>
      </c>
      <c r="AF106" s="285">
        <v>1.1151136363636384E-4</v>
      </c>
      <c r="AG106" s="282">
        <v>159.52340401785713</v>
      </c>
      <c r="AH106" s="285">
        <v>-0.19056250000000005</v>
      </c>
      <c r="AI106" s="285">
        <v>1.1217261904761917E-4</v>
      </c>
      <c r="AJ106" s="287">
        <f t="shared" si="13"/>
        <v>0</v>
      </c>
      <c r="AK106" s="267">
        <f t="shared" si="14"/>
        <v>5.7138257575757336</v>
      </c>
      <c r="AL106" s="267">
        <f t="shared" si="15"/>
        <v>3.3520833333332973</v>
      </c>
    </row>
    <row r="107" spans="28:38">
      <c r="AB107" s="286">
        <v>36586</v>
      </c>
      <c r="AC107" s="93">
        <v>3</v>
      </c>
      <c r="AD107" s="282">
        <v>163.07592765151512</v>
      </c>
      <c r="AE107" s="285">
        <v>-0.13863296969696959</v>
      </c>
      <c r="AF107" s="285">
        <v>4.6651515151515051E-5</v>
      </c>
      <c r="AG107" s="282">
        <v>159.25277678571447</v>
      </c>
      <c r="AH107" s="285">
        <v>-0.17049571428571508</v>
      </c>
      <c r="AI107" s="285">
        <v>8.4204761904762651E-5</v>
      </c>
      <c r="AJ107" s="287">
        <f t="shared" si="13"/>
        <v>0</v>
      </c>
      <c r="AK107" s="267">
        <f t="shared" si="14"/>
        <v>7.3320848484848682</v>
      </c>
      <c r="AL107" s="267">
        <f t="shared" si="15"/>
        <v>5.2609047619047544</v>
      </c>
    </row>
    <row r="108" spans="28:38">
      <c r="AB108" s="286">
        <v>36617</v>
      </c>
      <c r="AC108" s="93">
        <v>4</v>
      </c>
      <c r="AD108" s="282">
        <v>187.62568465909095</v>
      </c>
      <c r="AE108" s="285">
        <v>-0.21054590909090928</v>
      </c>
      <c r="AF108" s="285">
        <v>9.9916666666666814E-5</v>
      </c>
      <c r="AG108" s="282">
        <v>168.76048735119045</v>
      </c>
      <c r="AH108" s="285">
        <v>-0.1972132936507936</v>
      </c>
      <c r="AI108" s="285">
        <v>1.0477579365079367E-4</v>
      </c>
      <c r="AJ108" s="287">
        <f t="shared" si="13"/>
        <v>0</v>
      </c>
      <c r="AK108" s="267">
        <f t="shared" si="14"/>
        <v>7.0662575757575325</v>
      </c>
      <c r="AL108" s="267">
        <f t="shared" si="15"/>
        <v>5.0527182539682371</v>
      </c>
    </row>
    <row r="109" spans="28:38">
      <c r="AB109" s="286">
        <v>36647</v>
      </c>
      <c r="AC109" s="93">
        <v>5</v>
      </c>
      <c r="AD109" s="282">
        <v>177.44239298989899</v>
      </c>
      <c r="AE109" s="285">
        <v>-0.19173666181818189</v>
      </c>
      <c r="AF109" s="285">
        <v>9.0882585858585916E-5</v>
      </c>
      <c r="AG109" s="282">
        <v>167.24270312499991</v>
      </c>
      <c r="AH109" s="285">
        <v>-0.20108202380952367</v>
      </c>
      <c r="AI109" s="285">
        <v>1.119797619047619E-4</v>
      </c>
      <c r="AJ109" s="287">
        <f t="shared" si="13"/>
        <v>0</v>
      </c>
      <c r="AK109" s="267">
        <f t="shared" si="14"/>
        <v>6.4501041616161672</v>
      </c>
      <c r="AL109" s="267">
        <f t="shared" si="15"/>
        <v>4.4310357142857129</v>
      </c>
    </row>
    <row r="110" spans="28:38">
      <c r="AB110" s="286">
        <v>36678</v>
      </c>
      <c r="AC110" s="93">
        <v>6</v>
      </c>
      <c r="AD110" s="282">
        <v>211.34855855429305</v>
      </c>
      <c r="AE110" s="285">
        <v>-0.31281921717171746</v>
      </c>
      <c r="AF110" s="285">
        <v>1.9444065656565678E-4</v>
      </c>
      <c r="AG110" s="282">
        <v>144.2623623511904</v>
      </c>
      <c r="AH110" s="285">
        <v>-0.12911448412698395</v>
      </c>
      <c r="AI110" s="285">
        <v>6.1569444444444334E-5</v>
      </c>
      <c r="AJ110" s="287">
        <f t="shared" si="13"/>
        <v>0</v>
      </c>
      <c r="AK110" s="267">
        <f t="shared" si="14"/>
        <v>4.0602297979797584</v>
      </c>
      <c r="AL110" s="267">
        <f t="shared" si="15"/>
        <v>4.2917261904761972</v>
      </c>
    </row>
    <row r="111" spans="28:38">
      <c r="AB111" s="286">
        <v>36708</v>
      </c>
      <c r="AC111" s="93">
        <v>7</v>
      </c>
      <c r="AD111" s="282">
        <v>206.57946496212128</v>
      </c>
      <c r="AE111" s="285">
        <v>-0.2834126767676769</v>
      </c>
      <c r="AF111" s="285">
        <v>1.6860353535353543E-4</v>
      </c>
      <c r="AG111" s="282">
        <v>199.52752604166665</v>
      </c>
      <c r="AH111" s="285">
        <v>-0.31493472222222224</v>
      </c>
      <c r="AI111" s="285">
        <v>2.1540277777777793E-4</v>
      </c>
      <c r="AJ111" s="287">
        <f t="shared" si="13"/>
        <v>0</v>
      </c>
      <c r="AK111" s="267">
        <f t="shared" si="14"/>
        <v>4.7367727272727507</v>
      </c>
      <c r="AL111" s="267">
        <f t="shared" si="15"/>
        <v>1.337083333333311</v>
      </c>
    </row>
    <row r="112" spans="28:38">
      <c r="AB112" s="286">
        <v>36739</v>
      </c>
      <c r="AC112" s="93">
        <v>8</v>
      </c>
      <c r="AD112" s="282">
        <v>157.64556761363642</v>
      </c>
      <c r="AE112" s="285">
        <v>-0.14992675757575774</v>
      </c>
      <c r="AF112" s="285">
        <v>7.3810606060606174E-5</v>
      </c>
      <c r="AG112" s="282">
        <v>150.23868303571419</v>
      </c>
      <c r="AH112" s="285">
        <v>-0.1658635714285713</v>
      </c>
      <c r="AI112" s="285">
        <v>1.0025952380952378E-4</v>
      </c>
      <c r="AJ112" s="287">
        <f t="shared" si="13"/>
        <v>0</v>
      </c>
      <c r="AK112" s="267">
        <f t="shared" si="14"/>
        <v>4.6591909090908814</v>
      </c>
      <c r="AL112" s="267">
        <f t="shared" si="15"/>
        <v>2.5500238095238217</v>
      </c>
    </row>
    <row r="113" spans="28:38">
      <c r="AB113" s="286">
        <v>36770</v>
      </c>
      <c r="AC113" s="93">
        <v>9</v>
      </c>
      <c r="AD113" s="282">
        <v>130.68319034090911</v>
      </c>
      <c r="AE113" s="285">
        <v>-8.4163282828282754E-2</v>
      </c>
      <c r="AF113" s="285">
        <v>3.1164141414141344E-5</v>
      </c>
      <c r="AG113" s="282">
        <v>110.77035714285708</v>
      </c>
      <c r="AH113" s="285">
        <v>-5.0014285714285504E-2</v>
      </c>
      <c r="AI113" s="285">
        <v>1.1571428571428412E-5</v>
      </c>
      <c r="AJ113" s="287">
        <f t="shared" si="13"/>
        <v>0</v>
      </c>
      <c r="AK113" s="267">
        <f t="shared" si="14"/>
        <v>4.0533484848484704</v>
      </c>
      <c r="AL113" s="267">
        <f t="shared" si="15"/>
        <v>3.3814285714285575</v>
      </c>
    </row>
    <row r="114" spans="28:38">
      <c r="AB114" s="286">
        <v>36800</v>
      </c>
      <c r="AC114" s="93">
        <v>10</v>
      </c>
      <c r="AD114" s="282">
        <v>142.87087926136371</v>
      </c>
      <c r="AE114" s="285">
        <v>-0.12456174242424264</v>
      </c>
      <c r="AF114" s="285">
        <v>6.2481060606060779E-5</v>
      </c>
      <c r="AG114" s="282">
        <v>123.13865327380951</v>
      </c>
      <c r="AH114" s="285">
        <v>-9.1038095238095196E-2</v>
      </c>
      <c r="AI114" s="285">
        <v>4.7821428571428578E-5</v>
      </c>
      <c r="AJ114" s="287">
        <f t="shared" si="13"/>
        <v>0</v>
      </c>
      <c r="AK114" s="267">
        <f t="shared" si="14"/>
        <v>3.7088257575757098</v>
      </c>
      <c r="AL114" s="267">
        <f t="shared" si="15"/>
        <v>2.4088095238095093</v>
      </c>
    </row>
    <row r="115" spans="28:38">
      <c r="AB115" s="286">
        <v>36831</v>
      </c>
      <c r="AC115" s="93">
        <v>11</v>
      </c>
      <c r="AD115" s="282">
        <v>177.0401411931818</v>
      </c>
      <c r="AE115" s="285">
        <v>-0.20923068181818169</v>
      </c>
      <c r="AF115" s="285">
        <v>1.1828863636363625E-4</v>
      </c>
      <c r="AG115" s="282">
        <v>163.51374107142851</v>
      </c>
      <c r="AH115" s="285">
        <v>-0.21095476190476176</v>
      </c>
      <c r="AI115" s="285">
        <v>1.4010952380952377E-4</v>
      </c>
      <c r="AJ115" s="287">
        <f t="shared" si="13"/>
        <v>0</v>
      </c>
      <c r="AK115" s="267">
        <f t="shared" si="14"/>
        <v>4.3626590909090908</v>
      </c>
      <c r="AL115" s="267">
        <f t="shared" si="15"/>
        <v>1.4801428571428232</v>
      </c>
    </row>
    <row r="116" spans="28:38">
      <c r="AB116" s="286">
        <v>36861</v>
      </c>
      <c r="AC116" s="93">
        <v>12</v>
      </c>
      <c r="AD116" s="282">
        <v>177.83631912878795</v>
      </c>
      <c r="AE116" s="285">
        <v>-0.21746570707070723</v>
      </c>
      <c r="AF116" s="285">
        <v>1.3146717171717181E-4</v>
      </c>
      <c r="AG116" s="282">
        <v>166.23264136904749</v>
      </c>
      <c r="AH116" s="285">
        <v>-0.21985595238095221</v>
      </c>
      <c r="AI116" s="285">
        <v>1.4898015873015871E-4</v>
      </c>
      <c r="AJ116" s="287">
        <f t="shared" si="13"/>
        <v>0</v>
      </c>
      <c r="AK116" s="267">
        <f t="shared" si="14"/>
        <v>3.3411666666666804</v>
      </c>
      <c r="AL116" s="267">
        <f t="shared" si="15"/>
        <v>1.1283730158729668</v>
      </c>
    </row>
    <row r="117" spans="28:38">
      <c r="AB117" s="286">
        <v>36892</v>
      </c>
      <c r="AC117" s="93">
        <v>1</v>
      </c>
      <c r="AD117" s="282">
        <v>201.58956439393944</v>
      </c>
      <c r="AE117" s="285">
        <v>-0.26972315151515169</v>
      </c>
      <c r="AF117" s="285">
        <v>1.5609090909090922E-4</v>
      </c>
      <c r="AG117" s="282">
        <v>181.66123660714288</v>
      </c>
      <c r="AH117" s="285">
        <v>-0.25271738095238128</v>
      </c>
      <c r="AI117" s="285">
        <v>1.6394523809523846E-4</v>
      </c>
      <c r="AJ117" s="287">
        <f t="shared" si="13"/>
        <v>0</v>
      </c>
      <c r="AK117" s="267">
        <f t="shared" si="14"/>
        <v>5.1195878787878542</v>
      </c>
      <c r="AL117" s="267">
        <f t="shared" si="15"/>
        <v>2.3194047619047069</v>
      </c>
    </row>
    <row r="118" spans="28:38">
      <c r="AB118" s="286">
        <v>36923</v>
      </c>
      <c r="AC118" s="93">
        <v>2</v>
      </c>
      <c r="AD118" s="282">
        <v>183.17341903409095</v>
      </c>
      <c r="AE118" s="285">
        <v>-0.2099442676767678</v>
      </c>
      <c r="AF118" s="285">
        <v>1.0745580808080818E-4</v>
      </c>
      <c r="AG118" s="282">
        <v>204.8685788690475</v>
      </c>
      <c r="AH118" s="285">
        <v>-0.32601626984126963</v>
      </c>
      <c r="AI118" s="285">
        <v>2.1509920634920631E-4</v>
      </c>
      <c r="AJ118" s="287">
        <f t="shared" si="13"/>
        <v>0</v>
      </c>
      <c r="AK118" s="267">
        <f t="shared" si="14"/>
        <v>5.9506136363636131</v>
      </c>
      <c r="AL118" s="267">
        <f t="shared" si="15"/>
        <v>2.4877380952381145</v>
      </c>
    </row>
    <row r="119" spans="28:38">
      <c r="AB119" s="286">
        <v>36951</v>
      </c>
      <c r="AC119" s="93">
        <v>3</v>
      </c>
      <c r="AD119" s="282">
        <v>200.09717045454551</v>
      </c>
      <c r="AE119" s="285">
        <v>-0.23118303030303053</v>
      </c>
      <c r="AF119" s="285">
        <v>1.0724242424242441E-4</v>
      </c>
      <c r="AG119" s="282">
        <v>165.45888392857159</v>
      </c>
      <c r="AH119" s="285">
        <v>-0.1713714285714292</v>
      </c>
      <c r="AI119" s="285">
        <v>7.6928571428572001E-5</v>
      </c>
      <c r="AJ119" s="287">
        <f t="shared" si="13"/>
        <v>0</v>
      </c>
      <c r="AK119" s="267">
        <f t="shared" si="14"/>
        <v>8.1043636363636722</v>
      </c>
      <c r="AL119" s="267">
        <f t="shared" si="15"/>
        <v>6.3671428571428805</v>
      </c>
    </row>
    <row r="120" spans="28:38">
      <c r="AB120" s="286">
        <v>36982</v>
      </c>
      <c r="AC120" s="93">
        <v>4</v>
      </c>
      <c r="AD120" s="282">
        <v>159.71456344696972</v>
      </c>
      <c r="AE120" s="285">
        <v>-0.10830287878787892</v>
      </c>
      <c r="AF120" s="285">
        <v>2.2098484848484953E-5</v>
      </c>
      <c r="AG120" s="282">
        <v>154.52631696428568</v>
      </c>
      <c r="AH120" s="285">
        <v>-0.13069761904761906</v>
      </c>
      <c r="AI120" s="285">
        <v>4.4511904761904849E-5</v>
      </c>
      <c r="AJ120" s="287">
        <f t="shared" si="13"/>
        <v>0</v>
      </c>
      <c r="AK120" s="267">
        <f t="shared" si="14"/>
        <v>7.7365000000000066</v>
      </c>
      <c r="AL120" s="267">
        <f t="shared" si="15"/>
        <v>6.8380952380952067</v>
      </c>
    </row>
    <row r="121" spans="28:38">
      <c r="AB121" s="286">
        <v>37012</v>
      </c>
      <c r="AC121" s="93">
        <v>5</v>
      </c>
      <c r="AD121" s="282">
        <v>189.85881742424237</v>
      </c>
      <c r="AE121" s="285">
        <v>-0.22145224242424227</v>
      </c>
      <c r="AF121" s="285">
        <v>1.1535151515151502E-4</v>
      </c>
      <c r="AG121" s="282">
        <v>171.56841071428579</v>
      </c>
      <c r="AH121" s="285">
        <v>-0.20084190476190508</v>
      </c>
      <c r="AI121" s="285">
        <v>1.1115238095238124E-4</v>
      </c>
      <c r="AJ121" s="287">
        <f t="shared" si="13"/>
        <v>0</v>
      </c>
      <c r="AK121" s="267">
        <f t="shared" si="14"/>
        <v>5.9960121212120896</v>
      </c>
      <c r="AL121" s="267">
        <f t="shared" si="15"/>
        <v>4.5228571428571058</v>
      </c>
    </row>
    <row r="122" spans="28:38">
      <c r="AB122" s="286">
        <v>37043</v>
      </c>
      <c r="AC122" s="93">
        <v>6</v>
      </c>
      <c r="AD122" s="282">
        <v>211.44586379419195</v>
      </c>
      <c r="AE122" s="285">
        <v>-0.27770401515151522</v>
      </c>
      <c r="AF122" s="285">
        <v>1.5755429292929298E-4</v>
      </c>
      <c r="AG122" s="282">
        <v>162.69242559523806</v>
      </c>
      <c r="AH122" s="285">
        <v>-0.18420238095238095</v>
      </c>
      <c r="AI122" s="285">
        <v>1.1256349206349215E-4</v>
      </c>
      <c r="AJ122" s="287">
        <f t="shared" si="13"/>
        <v>0</v>
      </c>
      <c r="AK122" s="267">
        <f t="shared" si="14"/>
        <v>5.7128005050504669</v>
      </c>
      <c r="AL122" s="267">
        <f t="shared" si="15"/>
        <v>2.6613492063492004</v>
      </c>
    </row>
    <row r="123" spans="28:38">
      <c r="AB123" s="286">
        <v>37073</v>
      </c>
      <c r="AC123" s="93">
        <v>7</v>
      </c>
      <c r="AD123" s="282">
        <v>184.58474786253808</v>
      </c>
      <c r="AE123" s="285">
        <v>-0.22460287670721238</v>
      </c>
      <c r="AF123" s="285">
        <v>1.3179040233493976E-4</v>
      </c>
      <c r="AG123" s="282">
        <v>179.53496279761907</v>
      </c>
      <c r="AH123" s="285">
        <v>-0.24287103174603189</v>
      </c>
      <c r="AI123" s="285">
        <v>1.6069444444444462E-4</v>
      </c>
      <c r="AJ123" s="287">
        <f t="shared" si="13"/>
        <v>0</v>
      </c>
      <c r="AK123" s="267">
        <f t="shared" si="14"/>
        <v>4.0096313438296534</v>
      </c>
      <c r="AL123" s="267">
        <f t="shared" si="15"/>
        <v>1.7898809523808836</v>
      </c>
    </row>
    <row r="124" spans="28:38">
      <c r="AB124" s="286">
        <v>37104</v>
      </c>
      <c r="AC124" s="93">
        <v>8</v>
      </c>
      <c r="AD124" s="282">
        <v>160.92682007575758</v>
      </c>
      <c r="AE124" s="285">
        <v>-0.14587733333333339</v>
      </c>
      <c r="AF124" s="285">
        <v>6.9257575757575789E-5</v>
      </c>
      <c r="AG124" s="282">
        <v>193.36305803571423</v>
      </c>
      <c r="AH124" s="285">
        <v>-0.29367238095238096</v>
      </c>
      <c r="AI124" s="285">
        <v>1.996214285714287E-4</v>
      </c>
      <c r="AJ124" s="287">
        <f t="shared" si="13"/>
        <v>0</v>
      </c>
      <c r="AK124" s="267">
        <f t="shared" si="14"/>
        <v>4.8916727272727485</v>
      </c>
      <c r="AL124" s="267">
        <f t="shared" si="15"/>
        <v>1.4202380952380338</v>
      </c>
    </row>
    <row r="125" spans="28:38">
      <c r="AB125" s="286">
        <v>37135</v>
      </c>
      <c r="AC125" s="93">
        <v>9</v>
      </c>
      <c r="AD125" s="282">
        <v>149.23156328914135</v>
      </c>
      <c r="AE125" s="285">
        <v>-0.11445896464646445</v>
      </c>
      <c r="AF125" s="285">
        <v>4.5897727272727126E-5</v>
      </c>
      <c r="AG125" s="282">
        <v>157.61263392857154</v>
      </c>
      <c r="AH125" s="285">
        <v>-0.17221904761904805</v>
      </c>
      <c r="AI125" s="285">
        <v>9.8452380952381347E-5</v>
      </c>
      <c r="AJ125" s="287">
        <f t="shared" si="13"/>
        <v>0</v>
      </c>
      <c r="AK125" s="267">
        <f t="shared" si="14"/>
        <v>5.0202146464646376</v>
      </c>
      <c r="AL125" s="267">
        <f t="shared" si="15"/>
        <v>3.4385714285714357</v>
      </c>
    </row>
    <row r="126" spans="28:38">
      <c r="AB126" s="286">
        <v>37165</v>
      </c>
      <c r="AC126" s="93">
        <v>10</v>
      </c>
      <c r="AD126" s="282">
        <v>165.45908589015147</v>
      </c>
      <c r="AE126" s="285">
        <v>-0.19959656060606051</v>
      </c>
      <c r="AF126" s="285">
        <v>1.2480378787878778E-4</v>
      </c>
      <c r="AG126" s="282">
        <v>148.81552008928563</v>
      </c>
      <c r="AH126" s="285">
        <v>-0.17385154761904742</v>
      </c>
      <c r="AI126" s="285">
        <v>1.1087261904761894E-4</v>
      </c>
      <c r="AJ126" s="287">
        <f t="shared" si="13"/>
        <v>0</v>
      </c>
      <c r="AK126" s="267">
        <f t="shared" si="14"/>
        <v>2.4871257575757681</v>
      </c>
      <c r="AL126" s="267">
        <f t="shared" si="15"/>
        <v>1.8629880952381086</v>
      </c>
    </row>
    <row r="127" spans="28:38">
      <c r="AB127" s="286">
        <v>37196</v>
      </c>
      <c r="AC127" s="93">
        <v>11</v>
      </c>
      <c r="AD127" s="282">
        <v>169.03897017045449</v>
      </c>
      <c r="AE127" s="285">
        <v>-0.21414042929292923</v>
      </c>
      <c r="AF127" s="285">
        <v>1.3336994949494948E-4</v>
      </c>
      <c r="AG127" s="282">
        <v>131.28716145833343</v>
      </c>
      <c r="AH127" s="285">
        <v>-0.12531210317460351</v>
      </c>
      <c r="AI127" s="285">
        <v>7.0240079365079658E-5</v>
      </c>
      <c r="AJ127" s="287">
        <f t="shared" si="13"/>
        <v>0</v>
      </c>
      <c r="AK127" s="267">
        <f t="shared" si="14"/>
        <v>2.7422499999999843</v>
      </c>
      <c r="AL127" s="267">
        <f t="shared" si="15"/>
        <v>2.6975992063491674</v>
      </c>
    </row>
    <row r="128" spans="28:38">
      <c r="AB128" s="286">
        <v>37226</v>
      </c>
      <c r="AC128" s="93">
        <v>12</v>
      </c>
      <c r="AD128" s="282">
        <v>212.84089015151528</v>
      </c>
      <c r="AE128" s="285">
        <v>-0.31963111111111159</v>
      </c>
      <c r="AF128" s="285">
        <v>1.9340404040404076E-4</v>
      </c>
      <c r="AG128" s="282">
        <v>135.82857886904767</v>
      </c>
      <c r="AH128" s="285">
        <v>-0.11332579365079394</v>
      </c>
      <c r="AI128" s="285">
        <v>4.7892857142857473E-5</v>
      </c>
      <c r="AJ128" s="287">
        <f t="shared" si="13"/>
        <v>0</v>
      </c>
      <c r="AK128" s="267">
        <f t="shared" si="14"/>
        <v>4.8865454545454838</v>
      </c>
      <c r="AL128" s="267">
        <f t="shared" si="15"/>
        <v>4.627579365079356</v>
      </c>
    </row>
    <row r="129" spans="28:38">
      <c r="AB129" s="286">
        <v>37257</v>
      </c>
      <c r="AC129" s="93">
        <v>1</v>
      </c>
      <c r="AD129" s="282">
        <v>229.88780918560599</v>
      </c>
      <c r="AE129" s="285">
        <v>-0.36095863131313111</v>
      </c>
      <c r="AF129" s="285">
        <v>2.167345959595958E-4</v>
      </c>
      <c r="AG129" s="282">
        <v>176.47823660714303</v>
      </c>
      <c r="AH129" s="285">
        <v>-0.24685928571428642</v>
      </c>
      <c r="AI129" s="285">
        <v>1.5372619047619113E-4</v>
      </c>
      <c r="AJ129" s="287">
        <f t="shared" si="13"/>
        <v>0</v>
      </c>
      <c r="AK129" s="267">
        <f t="shared" si="14"/>
        <v>5.7530196969697158</v>
      </c>
      <c r="AL129" s="267">
        <f t="shared" si="15"/>
        <v>3.1642619047618723</v>
      </c>
    </row>
    <row r="130" spans="28:38">
      <c r="AB130" s="286">
        <v>37288</v>
      </c>
      <c r="AC130" s="93">
        <v>2</v>
      </c>
      <c r="AD130" s="282">
        <v>226.12455350378792</v>
      </c>
      <c r="AE130" s="285">
        <v>-0.33386810606060618</v>
      </c>
      <c r="AF130" s="285">
        <v>1.8926893939393946E-4</v>
      </c>
      <c r="AG130" s="282">
        <v>178.98842261904741</v>
      </c>
      <c r="AH130" s="285">
        <v>-0.23822579365079313</v>
      </c>
      <c r="AI130" s="285">
        <v>1.3647619047619017E-4</v>
      </c>
      <c r="AJ130" s="287">
        <f t="shared" si="13"/>
        <v>0</v>
      </c>
      <c r="AK130" s="267">
        <f t="shared" si="14"/>
        <v>6.8891590909090894</v>
      </c>
      <c r="AL130" s="267">
        <f t="shared" si="15"/>
        <v>4.7159126984126942</v>
      </c>
    </row>
    <row r="131" spans="28:38">
      <c r="AB131" s="286">
        <v>37316</v>
      </c>
      <c r="AC131" s="93">
        <v>3</v>
      </c>
      <c r="AD131" s="282">
        <v>191.90010937499994</v>
      </c>
      <c r="AE131" s="285">
        <v>-0.23292037878787863</v>
      </c>
      <c r="AF131" s="285">
        <v>1.123371212121211E-4</v>
      </c>
      <c r="AG131" s="282">
        <v>148.49715773809521</v>
      </c>
      <c r="AH131" s="285">
        <v>-0.15006944444444445</v>
      </c>
      <c r="AI131" s="285">
        <v>6.6912698412698482E-5</v>
      </c>
      <c r="AJ131" s="287">
        <f t="shared" si="13"/>
        <v>0</v>
      </c>
      <c r="AK131" s="267">
        <f t="shared" si="14"/>
        <v>7.5648409090909183</v>
      </c>
      <c r="AL131" s="267">
        <f t="shared" si="15"/>
        <v>5.6391666666666538</v>
      </c>
    </row>
    <row r="132" spans="28:38">
      <c r="AB132" s="286">
        <v>37347</v>
      </c>
      <c r="AC132" s="93">
        <v>4</v>
      </c>
      <c r="AD132" s="282">
        <v>148.73275464015154</v>
      </c>
      <c r="AE132" s="285">
        <v>-0.12580978282828287</v>
      </c>
      <c r="AF132" s="285">
        <v>4.1364898989899035E-5</v>
      </c>
      <c r="AG132" s="282">
        <v>132.92971875000006</v>
      </c>
      <c r="AH132" s="285">
        <v>-0.12014595238095262</v>
      </c>
      <c r="AI132" s="285">
        <v>4.9573809523809763E-5</v>
      </c>
      <c r="AJ132" s="287">
        <f t="shared" si="13"/>
        <v>0</v>
      </c>
      <c r="AK132" s="267">
        <f t="shared" si="14"/>
        <v>6.7898924242423959</v>
      </c>
      <c r="AL132" s="267">
        <f t="shared" si="15"/>
        <v>5.0742619047618689</v>
      </c>
    </row>
    <row r="133" spans="28:38">
      <c r="AB133" s="286">
        <v>37377</v>
      </c>
      <c r="AC133" s="93">
        <v>5</v>
      </c>
      <c r="AD133" s="282">
        <v>120.56994728535358</v>
      </c>
      <c r="AE133" s="285">
        <v>-3.7982171717171817E-2</v>
      </c>
      <c r="AF133" s="285">
        <v>-2.2002525252525197E-5</v>
      </c>
      <c r="AG133" s="282">
        <v>108.07950148809516</v>
      </c>
      <c r="AH133" s="285">
        <v>-4.1033730158729929E-2</v>
      </c>
      <c r="AI133" s="285">
        <v>-8.7579365079366778E-6</v>
      </c>
      <c r="AJ133" s="287">
        <f t="shared" si="13"/>
        <v>0</v>
      </c>
      <c r="AK133" s="267">
        <f t="shared" si="14"/>
        <v>6.8785707070707076</v>
      </c>
      <c r="AL133" s="267">
        <f t="shared" si="15"/>
        <v>5.3294841269841413</v>
      </c>
    </row>
    <row r="134" spans="28:38">
      <c r="AB134" s="286">
        <v>37408</v>
      </c>
      <c r="AC134" s="93">
        <v>6</v>
      </c>
      <c r="AD134" s="282">
        <v>136.86563269700906</v>
      </c>
      <c r="AE134" s="285">
        <v>-0.11744617851083483</v>
      </c>
      <c r="AF134" s="285">
        <v>5.1695410436931992E-5</v>
      </c>
      <c r="AG134" s="282">
        <v>125.4202572700775</v>
      </c>
      <c r="AH134" s="285">
        <v>-0.11077367421025694</v>
      </c>
      <c r="AI134" s="285">
        <v>5.5126671104072745E-5</v>
      </c>
      <c r="AJ134" s="287">
        <f t="shared" si="13"/>
        <v>0</v>
      </c>
      <c r="AK134" s="267">
        <f t="shared" si="14"/>
        <v>4.5072603899130002</v>
      </c>
      <c r="AL134" s="267">
        <f t="shared" si="15"/>
        <v>3.3596334664555059</v>
      </c>
    </row>
    <row r="135" spans="28:38">
      <c r="AB135" s="286">
        <v>37438</v>
      </c>
      <c r="AC135" s="93">
        <v>7</v>
      </c>
      <c r="AD135" s="282">
        <v>189.0912916982324</v>
      </c>
      <c r="AE135" s="285">
        <v>-0.26388340909090935</v>
      </c>
      <c r="AF135" s="285">
        <v>1.5384419191919211E-4</v>
      </c>
      <c r="AG135" s="282">
        <v>111.65473809523803</v>
      </c>
      <c r="AH135" s="285">
        <v>-6.1160634920634803E-2</v>
      </c>
      <c r="AI135" s="285">
        <v>1.3536507936507876E-5</v>
      </c>
      <c r="AJ135" s="287">
        <f t="shared" si="13"/>
        <v>0</v>
      </c>
      <c r="AK135" s="267">
        <f t="shared" si="14"/>
        <v>4.8501540404040782</v>
      </c>
      <c r="AL135" s="267">
        <f t="shared" si="15"/>
        <v>4.2209523809524114</v>
      </c>
    </row>
    <row r="136" spans="28:38">
      <c r="AB136" s="286">
        <v>37469</v>
      </c>
      <c r="AC136" s="93">
        <v>8</v>
      </c>
      <c r="AD136" s="282">
        <v>186.50636174242422</v>
      </c>
      <c r="AE136" s="285">
        <v>-0.27080232323232317</v>
      </c>
      <c r="AF136" s="285">
        <v>1.6902525252525247E-4</v>
      </c>
      <c r="AG136" s="282">
        <v>130.80584449404756</v>
      </c>
      <c r="AH136" s="285">
        <v>-0.14216051587301579</v>
      </c>
      <c r="AI136" s="285">
        <v>9.4378968253968251E-5</v>
      </c>
      <c r="AJ136" s="287">
        <f t="shared" si="13"/>
        <v>0</v>
      </c>
      <c r="AK136" s="267">
        <f t="shared" si="14"/>
        <v>3.4166969696969431</v>
      </c>
      <c r="AL136" s="267">
        <f t="shared" si="15"/>
        <v>1.0029960317460223</v>
      </c>
    </row>
    <row r="137" spans="28:38">
      <c r="AB137" s="286">
        <v>37500</v>
      </c>
      <c r="AC137" s="93">
        <v>9</v>
      </c>
      <c r="AD137" s="282">
        <v>165.02016256313129</v>
      </c>
      <c r="AE137" s="285">
        <v>-0.21470015151515159</v>
      </c>
      <c r="AF137" s="285">
        <v>1.3492171717171725E-4</v>
      </c>
      <c r="AG137" s="282">
        <v>114.95997023809538</v>
      </c>
      <c r="AH137" s="285">
        <v>-8.7445634920635423E-2</v>
      </c>
      <c r="AI137" s="285">
        <v>4.6539682539682972E-5</v>
      </c>
      <c r="AJ137" s="287">
        <f t="shared" ref="AJ137:AJ200" si="16">VLOOKUP(YEAR(AB137),S$8:T$40,2)*VLOOKUP(AC137,U$8:V$19,2)</f>
        <v>0</v>
      </c>
      <c r="AK137" s="267">
        <f t="shared" si="14"/>
        <v>2.5809747474747269</v>
      </c>
      <c r="AL137" s="267">
        <f t="shared" si="15"/>
        <v>2.2290079365079407</v>
      </c>
    </row>
    <row r="138" spans="28:38">
      <c r="AB138" s="286">
        <v>37530</v>
      </c>
      <c r="AC138" s="93">
        <v>10</v>
      </c>
      <c r="AD138" s="282">
        <v>176.40233257575753</v>
      </c>
      <c r="AE138" s="285">
        <v>-0.25444036363636346</v>
      </c>
      <c r="AF138" s="285">
        <v>1.6538787878787864E-4</v>
      </c>
      <c r="AG138" s="282">
        <v>125.84874925595236</v>
      </c>
      <c r="AH138" s="285">
        <v>-0.13380932539682538</v>
      </c>
      <c r="AI138" s="285">
        <v>8.9594841269841302E-5</v>
      </c>
      <c r="AJ138" s="287">
        <f t="shared" si="16"/>
        <v>0</v>
      </c>
      <c r="AK138" s="267">
        <f t="shared" ref="AK138:AK201" si="17">((AD138+AE138*($C$12-25)+AF138*($C$12-25)^2-(AD138+AE138*($C$12+25)+AF138*($C$12+25)^2)))/(50/100)</f>
        <v>2.2897333333332881</v>
      </c>
      <c r="AL138" s="267">
        <f t="shared" ref="AL138:AL201" si="18">((AG138+AH138*($C$12-25)+AI138*($C$12-25)^2-(AG138+AH138*($C$12+25)+AI138*($C$12+25)^2)))/(50/100)</f>
        <v>0.83765476190473009</v>
      </c>
    </row>
    <row r="139" spans="28:38">
      <c r="AB139" s="286">
        <v>37561</v>
      </c>
      <c r="AC139" s="93">
        <v>11</v>
      </c>
      <c r="AD139" s="282">
        <v>197.08137152777766</v>
      </c>
      <c r="AE139" s="285">
        <v>-0.29992661616161587</v>
      </c>
      <c r="AF139" s="285">
        <v>1.9331060606060584E-4</v>
      </c>
      <c r="AG139" s="282">
        <v>161.93471726190467</v>
      </c>
      <c r="AH139" s="285">
        <v>-0.24231150793650785</v>
      </c>
      <c r="AI139" s="285">
        <v>1.7650000000000006E-4</v>
      </c>
      <c r="AJ139" s="287">
        <f t="shared" si="16"/>
        <v>0</v>
      </c>
      <c r="AK139" s="267">
        <f t="shared" si="17"/>
        <v>2.9291767676767506</v>
      </c>
      <c r="AL139" s="267">
        <f t="shared" si="18"/>
        <v>-0.47884920634922423</v>
      </c>
    </row>
    <row r="140" spans="28:38">
      <c r="AB140" s="286">
        <v>37591</v>
      </c>
      <c r="AC140" s="93">
        <v>12</v>
      </c>
      <c r="AD140" s="282">
        <v>171.2865625</v>
      </c>
      <c r="AE140" s="285">
        <v>-0.22783767676767683</v>
      </c>
      <c r="AF140" s="285">
        <v>1.4806565656565662E-4</v>
      </c>
      <c r="AG140" s="282">
        <v>123.35707589285704</v>
      </c>
      <c r="AH140" s="285">
        <v>-0.10939007936507905</v>
      </c>
      <c r="AI140" s="285">
        <v>7.1535714285714098E-5</v>
      </c>
      <c r="AJ140" s="287">
        <f t="shared" si="16"/>
        <v>0</v>
      </c>
      <c r="AK140" s="267">
        <f t="shared" si="17"/>
        <v>2.0545757575757193</v>
      </c>
      <c r="AL140" s="267">
        <f t="shared" si="18"/>
        <v>0.92400793650796231</v>
      </c>
    </row>
    <row r="141" spans="28:38">
      <c r="AB141" s="286">
        <v>37622</v>
      </c>
      <c r="AC141" s="93">
        <v>1</v>
      </c>
      <c r="AD141" s="282">
        <v>203.77225189393948</v>
      </c>
      <c r="AE141" s="285">
        <v>-0.31553606060606082</v>
      </c>
      <c r="AF141" s="285">
        <v>2.0150000000000015E-4</v>
      </c>
      <c r="AG141" s="282">
        <v>145.34224330357148</v>
      </c>
      <c r="AH141" s="285">
        <v>-0.1784101190476193</v>
      </c>
      <c r="AI141" s="285">
        <v>1.1812500000000027E-4</v>
      </c>
      <c r="AJ141" s="287">
        <f t="shared" si="16"/>
        <v>0</v>
      </c>
      <c r="AK141" s="267">
        <f t="shared" si="17"/>
        <v>3.3436060606060209</v>
      </c>
      <c r="AL141" s="267">
        <f t="shared" si="18"/>
        <v>1.3035119047618764</v>
      </c>
    </row>
    <row r="142" spans="28:38">
      <c r="AB142" s="286">
        <v>37653</v>
      </c>
      <c r="AC142" s="93">
        <v>2</v>
      </c>
      <c r="AD142" s="282">
        <v>184.11520359848481</v>
      </c>
      <c r="AE142" s="285">
        <v>-0.25480883838383822</v>
      </c>
      <c r="AF142" s="285">
        <v>1.5101767676767666E-4</v>
      </c>
      <c r="AG142" s="282">
        <v>179.99755952380951</v>
      </c>
      <c r="AH142" s="285">
        <v>-0.28120515873015878</v>
      </c>
      <c r="AI142" s="285">
        <v>1.8831746031746041E-4</v>
      </c>
      <c r="AJ142" s="287">
        <f t="shared" si="16"/>
        <v>0</v>
      </c>
      <c r="AK142" s="267">
        <f t="shared" si="17"/>
        <v>4.3384090909090958</v>
      </c>
      <c r="AL142" s="267">
        <f t="shared" si="18"/>
        <v>1.7560714285714312</v>
      </c>
    </row>
    <row r="143" spans="28:38">
      <c r="AB143" s="286">
        <v>37681</v>
      </c>
      <c r="AC143" s="93">
        <v>3</v>
      </c>
      <c r="AD143" s="282">
        <v>177.24149005681818</v>
      </c>
      <c r="AE143" s="285">
        <v>-0.21262219696969695</v>
      </c>
      <c r="AF143" s="285">
        <v>1.0680681818181816E-4</v>
      </c>
      <c r="AG143" s="282">
        <v>165.95779464285721</v>
      </c>
      <c r="AH143" s="285">
        <v>-0.22612158730158763</v>
      </c>
      <c r="AI143" s="285">
        <v>1.3530952380952417E-4</v>
      </c>
      <c r="AJ143" s="287">
        <f t="shared" si="16"/>
        <v>0</v>
      </c>
      <c r="AK143" s="267">
        <f t="shared" si="17"/>
        <v>6.3092651515151204</v>
      </c>
      <c r="AL143" s="267">
        <f t="shared" si="18"/>
        <v>3.6688253968253548</v>
      </c>
    </row>
    <row r="144" spans="28:38">
      <c r="AB144" s="286">
        <v>37712</v>
      </c>
      <c r="AC144" s="93">
        <v>4</v>
      </c>
      <c r="AD144" s="282">
        <v>174.80787651515152</v>
      </c>
      <c r="AE144" s="285">
        <v>-0.19326630303030304</v>
      </c>
      <c r="AF144" s="285">
        <v>9.1654545454545436E-5</v>
      </c>
      <c r="AG144" s="282">
        <v>132.57689062499998</v>
      </c>
      <c r="AH144" s="285">
        <v>-9.4401547619047455E-2</v>
      </c>
      <c r="AI144" s="285">
        <v>2.325119047619035E-5</v>
      </c>
      <c r="AJ144" s="287">
        <f t="shared" si="16"/>
        <v>0</v>
      </c>
      <c r="AK144" s="267">
        <f t="shared" si="17"/>
        <v>6.494993939393936</v>
      </c>
      <c r="AL144" s="267">
        <f t="shared" si="18"/>
        <v>6.1849880952380829</v>
      </c>
    </row>
    <row r="145" spans="28:38">
      <c r="AB145" s="286">
        <v>37742</v>
      </c>
      <c r="AC145" s="93">
        <v>5</v>
      </c>
      <c r="AD145" s="282">
        <v>171.04865230429294</v>
      </c>
      <c r="AE145" s="285">
        <v>-0.1784289646464646</v>
      </c>
      <c r="AF145" s="285">
        <v>8.421590909090903E-5</v>
      </c>
      <c r="AG145" s="282">
        <v>155.18687499999999</v>
      </c>
      <c r="AH145" s="285">
        <v>-0.17688968253968262</v>
      </c>
      <c r="AI145" s="285">
        <v>9.8047619047619201E-5</v>
      </c>
      <c r="AJ145" s="287">
        <f t="shared" si="16"/>
        <v>0</v>
      </c>
      <c r="AK145" s="267">
        <f t="shared" si="17"/>
        <v>6.0526691919191649</v>
      </c>
      <c r="AL145" s="267">
        <f t="shared" si="18"/>
        <v>3.9623015873016243</v>
      </c>
    </row>
    <row r="146" spans="28:38">
      <c r="AB146" s="286">
        <v>37773</v>
      </c>
      <c r="AC146" s="93">
        <v>6</v>
      </c>
      <c r="AD146" s="282">
        <v>197.14492049440025</v>
      </c>
      <c r="AE146" s="285">
        <v>-0.26117137677480118</v>
      </c>
      <c r="AF146" s="285">
        <v>1.5098445497647056E-4</v>
      </c>
      <c r="AG146" s="282">
        <v>119.02522866692945</v>
      </c>
      <c r="AH146" s="285">
        <v>-5.3085731392047614E-2</v>
      </c>
      <c r="AI146" s="285">
        <v>2.939573598278393E-6</v>
      </c>
      <c r="AJ146" s="287">
        <f t="shared" si="16"/>
        <v>0</v>
      </c>
      <c r="AK146" s="267">
        <f t="shared" si="17"/>
        <v>4.9793139807742364</v>
      </c>
      <c r="AL146" s="267">
        <f t="shared" si="18"/>
        <v>4.897032835445799</v>
      </c>
    </row>
    <row r="147" spans="28:38">
      <c r="AB147" s="286">
        <v>37803</v>
      </c>
      <c r="AC147" s="93">
        <v>7</v>
      </c>
      <c r="AD147" s="282">
        <v>149.57499501262629</v>
      </c>
      <c r="AE147" s="285">
        <v>-0.11979384848484861</v>
      </c>
      <c r="AF147" s="285">
        <v>5.6435858585858684E-5</v>
      </c>
      <c r="AG147" s="282">
        <v>128.41031696428576</v>
      </c>
      <c r="AH147" s="285">
        <v>-8.6634682539682692E-2</v>
      </c>
      <c r="AI147" s="285">
        <v>4.3524603174603321E-5</v>
      </c>
      <c r="AJ147" s="287">
        <f t="shared" si="16"/>
        <v>0</v>
      </c>
      <c r="AK147" s="267">
        <f t="shared" si="17"/>
        <v>4.0783646464646495</v>
      </c>
      <c r="AL147" s="267">
        <f t="shared" si="18"/>
        <v>2.5700238095238319</v>
      </c>
    </row>
    <row r="148" spans="28:38">
      <c r="AB148" s="286">
        <v>37834</v>
      </c>
      <c r="AC148" s="93">
        <v>8</v>
      </c>
      <c r="AD148" s="282">
        <v>150.46666571969695</v>
      </c>
      <c r="AE148" s="285">
        <v>-0.10596631313131309</v>
      </c>
      <c r="AF148" s="285">
        <v>4.5482323232323207E-5</v>
      </c>
      <c r="AG148" s="282">
        <v>126.73327752976175</v>
      </c>
      <c r="AH148" s="285">
        <v>-7.466210317460277E-2</v>
      </c>
      <c r="AI148" s="285">
        <v>3.5819444444444162E-5</v>
      </c>
      <c r="AJ148" s="287">
        <f t="shared" si="16"/>
        <v>0</v>
      </c>
      <c r="AK148" s="267">
        <f t="shared" si="17"/>
        <v>4.2291060606060284</v>
      </c>
      <c r="AL148" s="267">
        <f t="shared" si="18"/>
        <v>2.4514880952380906</v>
      </c>
    </row>
    <row r="149" spans="28:38">
      <c r="AB149" s="286">
        <v>37865</v>
      </c>
      <c r="AC149" s="93">
        <v>9</v>
      </c>
      <c r="AD149" s="282">
        <v>149.63251515151521</v>
      </c>
      <c r="AE149" s="285">
        <v>-9.6579292929293042E-2</v>
      </c>
      <c r="AF149" s="285">
        <v>4.1919191919191995E-5</v>
      </c>
      <c r="AG149" s="282">
        <v>120.3196130952381</v>
      </c>
      <c r="AH149" s="285">
        <v>-3.3453174603174672E-2</v>
      </c>
      <c r="AI149" s="285">
        <v>-1.8888888888888086E-6</v>
      </c>
      <c r="AJ149" s="287">
        <f t="shared" si="16"/>
        <v>0</v>
      </c>
      <c r="AK149" s="267">
        <f t="shared" si="17"/>
        <v>3.789242424242417</v>
      </c>
      <c r="AL149" s="267">
        <f t="shared" si="18"/>
        <v>3.6097619047618821</v>
      </c>
    </row>
    <row r="150" spans="28:38">
      <c r="AB150" s="286">
        <v>37895</v>
      </c>
      <c r="AC150" s="93">
        <v>10</v>
      </c>
      <c r="AD150" s="282">
        <v>199.14198456439411</v>
      </c>
      <c r="AE150" s="285">
        <v>-0.26903453030303082</v>
      </c>
      <c r="AF150" s="285">
        <v>1.8943257575757612E-4</v>
      </c>
      <c r="AG150" s="282">
        <v>150.58248214285703</v>
      </c>
      <c r="AH150" s="285">
        <v>-0.14591738095238063</v>
      </c>
      <c r="AI150" s="285">
        <v>1.0232380952380933E-4</v>
      </c>
      <c r="AJ150" s="287">
        <f t="shared" si="16"/>
        <v>0</v>
      </c>
      <c r="AK150" s="267">
        <f t="shared" si="17"/>
        <v>0.3828924242424705</v>
      </c>
      <c r="AL150" s="267">
        <f t="shared" si="18"/>
        <v>0.26640476190470963</v>
      </c>
    </row>
    <row r="151" spans="28:38">
      <c r="AB151" s="286">
        <v>37926</v>
      </c>
      <c r="AC151" s="93">
        <v>11</v>
      </c>
      <c r="AD151" s="282">
        <v>227.28719088787827</v>
      </c>
      <c r="AE151" s="285">
        <v>-0.34777210076191373</v>
      </c>
      <c r="AF151" s="285">
        <v>2.4137320643236997E-4</v>
      </c>
      <c r="AG151" s="282">
        <v>167.36824032738085</v>
      </c>
      <c r="AH151" s="285">
        <v>-0.20424464285714253</v>
      </c>
      <c r="AI151" s="285">
        <v>1.5337103174603155E-4</v>
      </c>
      <c r="AJ151" s="287">
        <f t="shared" si="16"/>
        <v>0</v>
      </c>
      <c r="AK151" s="267">
        <f t="shared" si="17"/>
        <v>0.98496117565963459</v>
      </c>
      <c r="AL151" s="267">
        <f t="shared" si="18"/>
        <v>-1.0474801587301386</v>
      </c>
    </row>
    <row r="152" spans="28:38">
      <c r="AB152" s="286">
        <v>37956</v>
      </c>
      <c r="AC152" s="93">
        <v>12</v>
      </c>
      <c r="AD152" s="282">
        <v>198.45615340909092</v>
      </c>
      <c r="AE152" s="285">
        <v>-0.24951000000000001</v>
      </c>
      <c r="AF152" s="285">
        <v>1.5659090909090907E-4</v>
      </c>
      <c r="AG152" s="282">
        <v>195.26979166666649</v>
      </c>
      <c r="AH152" s="285">
        <v>-0.26883492063492015</v>
      </c>
      <c r="AI152" s="285">
        <v>1.8042857142857116E-4</v>
      </c>
      <c r="AJ152" s="287">
        <f t="shared" si="16"/>
        <v>0</v>
      </c>
      <c r="AK152" s="267">
        <f t="shared" si="17"/>
        <v>3.0282727272727641</v>
      </c>
      <c r="AL152" s="267">
        <f t="shared" si="18"/>
        <v>1.6234920634920798</v>
      </c>
    </row>
    <row r="153" spans="28:38">
      <c r="AB153" s="286">
        <v>37987</v>
      </c>
      <c r="AC153" s="93">
        <v>1</v>
      </c>
      <c r="AD153" s="282">
        <v>193.28883143939396</v>
      </c>
      <c r="AE153" s="285">
        <v>-0.22701848484848489</v>
      </c>
      <c r="AF153" s="285">
        <v>1.1771212121212122E-4</v>
      </c>
      <c r="AG153" s="282">
        <v>164.46473214285712</v>
      </c>
      <c r="AH153" s="285">
        <v>-0.16840952380952387</v>
      </c>
      <c r="AI153" s="285">
        <v>8.4619047619047754E-5</v>
      </c>
      <c r="AJ153" s="287">
        <f t="shared" si="16"/>
        <v>0</v>
      </c>
      <c r="AK153" s="267">
        <f t="shared" si="17"/>
        <v>6.222151515151495</v>
      </c>
      <c r="AL153" s="267">
        <f t="shared" si="18"/>
        <v>4.9942857142856951</v>
      </c>
    </row>
    <row r="154" spans="28:38">
      <c r="AB154" s="286">
        <v>38018</v>
      </c>
      <c r="AC154" s="93">
        <v>2</v>
      </c>
      <c r="AD154" s="282">
        <v>225.82953219696978</v>
      </c>
      <c r="AE154" s="285">
        <v>-0.33158272727272747</v>
      </c>
      <c r="AF154" s="285">
        <v>1.9453030303030316E-4</v>
      </c>
      <c r="AG154" s="282">
        <v>162.30379464285718</v>
      </c>
      <c r="AH154" s="285">
        <v>-0.16578809523809546</v>
      </c>
      <c r="AI154" s="285">
        <v>7.8500000000000241E-5</v>
      </c>
      <c r="AJ154" s="287">
        <f t="shared" si="16"/>
        <v>0</v>
      </c>
      <c r="AK154" s="267">
        <f t="shared" si="17"/>
        <v>5.9240303030303494</v>
      </c>
      <c r="AL154" s="267">
        <f t="shared" si="18"/>
        <v>5.5888095238095161</v>
      </c>
    </row>
    <row r="155" spans="28:38">
      <c r="AB155" s="286">
        <v>38047</v>
      </c>
      <c r="AC155" s="93">
        <v>3</v>
      </c>
      <c r="AD155" s="282">
        <v>220.55495833333339</v>
      </c>
      <c r="AE155" s="285">
        <v>-0.28508303030303045</v>
      </c>
      <c r="AF155" s="285">
        <v>1.5136363636363644E-4</v>
      </c>
      <c r="AG155" s="282">
        <v>180.17084821428568</v>
      </c>
      <c r="AH155" s="285">
        <v>-0.18999285714285707</v>
      </c>
      <c r="AI155" s="285">
        <v>8.5309523809523811E-5</v>
      </c>
      <c r="AJ155" s="287">
        <f t="shared" si="16"/>
        <v>0</v>
      </c>
      <c r="AK155" s="267">
        <f t="shared" si="17"/>
        <v>7.317393939393952</v>
      </c>
      <c r="AL155" s="267">
        <f t="shared" si="18"/>
        <v>7.0559523809523625</v>
      </c>
    </row>
    <row r="156" spans="28:38">
      <c r="AB156" s="286">
        <v>38078</v>
      </c>
      <c r="AC156" s="93">
        <v>4</v>
      </c>
      <c r="AD156" s="282">
        <v>191.98604924242426</v>
      </c>
      <c r="AE156" s="285">
        <v>-0.1931800000000001</v>
      </c>
      <c r="AF156" s="285">
        <v>9.0757575757575851E-5</v>
      </c>
      <c r="AG156" s="282">
        <v>201.95464285714274</v>
      </c>
      <c r="AH156" s="285">
        <v>-0.25312380952380925</v>
      </c>
      <c r="AI156" s="285">
        <v>1.3771428571428558E-4</v>
      </c>
      <c r="AJ156" s="287">
        <f t="shared" si="16"/>
        <v>0</v>
      </c>
      <c r="AK156" s="267">
        <f t="shared" si="17"/>
        <v>6.6119393939393944</v>
      </c>
      <c r="AL156" s="267">
        <f t="shared" si="18"/>
        <v>6.0323809523809473</v>
      </c>
    </row>
    <row r="157" spans="28:38">
      <c r="AB157" s="286">
        <v>38108</v>
      </c>
      <c r="AC157" s="93">
        <v>5</v>
      </c>
      <c r="AD157" s="282">
        <v>197.20628598484853</v>
      </c>
      <c r="AE157" s="285">
        <v>-0.20530333333333348</v>
      </c>
      <c r="AF157" s="285">
        <v>1.1068181818181828E-4</v>
      </c>
      <c r="AG157" s="282">
        <v>183.55616071428585</v>
      </c>
      <c r="AH157" s="285">
        <v>-0.20171904761904821</v>
      </c>
      <c r="AI157" s="285">
        <v>1.2138095238095296E-4</v>
      </c>
      <c r="AJ157" s="287">
        <f t="shared" si="16"/>
        <v>0</v>
      </c>
      <c r="AK157" s="267">
        <f t="shared" si="17"/>
        <v>5.0348787878787675</v>
      </c>
      <c r="AL157" s="267">
        <f t="shared" si="18"/>
        <v>3.1785714285713595</v>
      </c>
    </row>
    <row r="158" spans="28:38">
      <c r="AB158" s="286">
        <v>38139</v>
      </c>
      <c r="AC158" s="93">
        <v>6</v>
      </c>
      <c r="AD158" s="282">
        <v>194.89527462121202</v>
      </c>
      <c r="AE158" s="285">
        <v>-0.19213909090909059</v>
      </c>
      <c r="AF158" s="285">
        <v>1.124696969696967E-4</v>
      </c>
      <c r="AG158" s="282">
        <v>198.1529910714288</v>
      </c>
      <c r="AH158" s="285">
        <v>-0.20859285714285811</v>
      </c>
      <c r="AI158" s="285">
        <v>1.1426190476190564E-4</v>
      </c>
      <c r="AJ158" s="287">
        <f t="shared" si="16"/>
        <v>0</v>
      </c>
      <c r="AK158" s="267">
        <f t="shared" si="17"/>
        <v>3.4681515151515327</v>
      </c>
      <c r="AL158" s="267">
        <f t="shared" si="18"/>
        <v>4.8626190476190345</v>
      </c>
    </row>
    <row r="159" spans="28:38">
      <c r="AB159" s="286">
        <v>38169</v>
      </c>
      <c r="AC159" s="93">
        <v>7</v>
      </c>
      <c r="AD159" s="282">
        <v>239.34719370390434</v>
      </c>
      <c r="AE159" s="285">
        <v>-0.31254882440134385</v>
      </c>
      <c r="AF159" s="285">
        <v>1.9746652260824957E-4</v>
      </c>
      <c r="AG159" s="282">
        <v>253.94446428571393</v>
      </c>
      <c r="AH159" s="285">
        <v>-0.38195238095237993</v>
      </c>
      <c r="AI159" s="285">
        <v>2.5590476190476117E-4</v>
      </c>
      <c r="AJ159" s="287">
        <f t="shared" si="16"/>
        <v>0</v>
      </c>
      <c r="AK159" s="267">
        <f t="shared" si="17"/>
        <v>3.6095692749794637</v>
      </c>
      <c r="AL159" s="267">
        <f t="shared" si="18"/>
        <v>2.3685714285714425</v>
      </c>
    </row>
    <row r="160" spans="28:38">
      <c r="AB160" s="286">
        <v>38200</v>
      </c>
      <c r="AC160" s="93">
        <v>8</v>
      </c>
      <c r="AD160" s="282">
        <v>251.40805681818182</v>
      </c>
      <c r="AE160" s="285">
        <v>-0.33233515151515153</v>
      </c>
      <c r="AF160" s="285">
        <v>2.0366666666666667E-4</v>
      </c>
      <c r="AG160" s="282">
        <v>215.55526785714272</v>
      </c>
      <c r="AH160" s="285">
        <v>-0.24163333333333306</v>
      </c>
      <c r="AI160" s="285">
        <v>1.3728571428571416E-4</v>
      </c>
      <c r="AJ160" s="287">
        <f t="shared" si="16"/>
        <v>0</v>
      </c>
      <c r="AK160" s="267">
        <f t="shared" si="17"/>
        <v>4.7201818181817998</v>
      </c>
      <c r="AL160" s="267">
        <f t="shared" si="18"/>
        <v>4.943333333333328</v>
      </c>
    </row>
    <row r="161" spans="28:38">
      <c r="AB161" s="286">
        <v>38231</v>
      </c>
      <c r="AC161" s="93">
        <v>9</v>
      </c>
      <c r="AD161" s="282">
        <v>240.35007007575751</v>
      </c>
      <c r="AE161" s="285">
        <v>-0.31580575757575746</v>
      </c>
      <c r="AF161" s="285">
        <v>1.943484848484848E-4</v>
      </c>
      <c r="AG161" s="282">
        <v>202.18455357142858</v>
      </c>
      <c r="AH161" s="285">
        <v>-0.21947619047619063</v>
      </c>
      <c r="AI161" s="285">
        <v>1.250952380952383E-4</v>
      </c>
      <c r="AJ161" s="287">
        <f t="shared" si="16"/>
        <v>0</v>
      </c>
      <c r="AK161" s="267">
        <f t="shared" si="17"/>
        <v>4.3717878787878703</v>
      </c>
      <c r="AL161" s="267">
        <f t="shared" si="18"/>
        <v>4.434285714285636</v>
      </c>
    </row>
    <row r="162" spans="28:38">
      <c r="AB162" s="286">
        <v>38261</v>
      </c>
      <c r="AC162" s="93">
        <v>10</v>
      </c>
      <c r="AD162" s="282">
        <v>230.50109848484857</v>
      </c>
      <c r="AE162" s="285">
        <v>-0.29249454545454567</v>
      </c>
      <c r="AF162" s="285">
        <v>1.8006060606060619E-4</v>
      </c>
      <c r="AG162" s="282">
        <v>219.35169642857136</v>
      </c>
      <c r="AH162" s="285">
        <v>-0.30645714285714282</v>
      </c>
      <c r="AI162" s="285">
        <v>2.115714285714287E-4</v>
      </c>
      <c r="AJ162" s="287">
        <f t="shared" si="16"/>
        <v>0</v>
      </c>
      <c r="AK162" s="267">
        <f t="shared" si="17"/>
        <v>4.0409696969697109</v>
      </c>
      <c r="AL162" s="267">
        <f t="shared" si="18"/>
        <v>1.0257142857142867</v>
      </c>
    </row>
    <row r="163" spans="28:38">
      <c r="AB163" s="286">
        <v>38292</v>
      </c>
      <c r="AC163" s="93">
        <v>11</v>
      </c>
      <c r="AD163" s="282">
        <v>274.38586174242437</v>
      </c>
      <c r="AE163" s="285">
        <v>-0.44091424242424265</v>
      </c>
      <c r="AF163" s="285">
        <v>2.8983333333333351E-4</v>
      </c>
      <c r="AG163" s="282">
        <v>185.01906250000008</v>
      </c>
      <c r="AH163" s="285">
        <v>-0.2063785714285718</v>
      </c>
      <c r="AI163" s="285">
        <v>1.3388095238095279E-4</v>
      </c>
      <c r="AJ163" s="287">
        <f t="shared" si="16"/>
        <v>0</v>
      </c>
      <c r="AK163" s="267">
        <f t="shared" si="17"/>
        <v>3.5147575757575851</v>
      </c>
      <c r="AL163" s="267">
        <f t="shared" si="18"/>
        <v>1.8945238095238324</v>
      </c>
    </row>
    <row r="164" spans="28:38">
      <c r="AB164" s="286">
        <v>38322</v>
      </c>
      <c r="AC164" s="93">
        <v>12</v>
      </c>
      <c r="AD164" s="282">
        <v>252.54469318181827</v>
      </c>
      <c r="AE164" s="285">
        <v>-0.37366363636363659</v>
      </c>
      <c r="AF164" s="285">
        <v>2.3445454545454561E-4</v>
      </c>
      <c r="AG164" s="282">
        <v>247.51133928571426</v>
      </c>
      <c r="AH164" s="285">
        <v>-0.39383333333333348</v>
      </c>
      <c r="AI164" s="285">
        <v>2.6242857142857171E-4</v>
      </c>
      <c r="AJ164" s="287">
        <f t="shared" si="16"/>
        <v>0</v>
      </c>
      <c r="AK164" s="267">
        <f t="shared" si="17"/>
        <v>4.5427272727272623</v>
      </c>
      <c r="AL164" s="267">
        <f t="shared" si="18"/>
        <v>2.6433333333332882</v>
      </c>
    </row>
    <row r="165" spans="28:38">
      <c r="AB165" s="286">
        <v>38353</v>
      </c>
      <c r="AC165" s="93">
        <v>1</v>
      </c>
      <c r="AD165" s="282">
        <v>223.89855303030311</v>
      </c>
      <c r="AE165" s="285">
        <v>-0.27282303030303057</v>
      </c>
      <c r="AF165" s="285">
        <v>1.5266666666666686E-4</v>
      </c>
      <c r="AG165" s="282">
        <v>186.28616071428576</v>
      </c>
      <c r="AH165" s="285">
        <v>-0.18948095238095272</v>
      </c>
      <c r="AI165" s="285">
        <v>9.7761904761905127E-5</v>
      </c>
      <c r="AJ165" s="287">
        <f t="shared" si="16"/>
        <v>0</v>
      </c>
      <c r="AK165" s="267">
        <f t="shared" si="17"/>
        <v>5.9089696969697059</v>
      </c>
      <c r="AL165" s="267">
        <f t="shared" si="18"/>
        <v>5.2614285714285529</v>
      </c>
    </row>
    <row r="166" spans="28:38">
      <c r="AB166" s="286">
        <v>38384</v>
      </c>
      <c r="AC166" s="93">
        <v>2</v>
      </c>
      <c r="AD166" s="282">
        <v>259.6831590909091</v>
      </c>
      <c r="AE166" s="285">
        <v>-0.36118545454545453</v>
      </c>
      <c r="AF166" s="285">
        <v>2.0236363636363635E-4</v>
      </c>
      <c r="AG166" s="282">
        <v>276.47950892857102</v>
      </c>
      <c r="AH166" s="285">
        <v>-0.46157857142857012</v>
      </c>
      <c r="AI166" s="285">
        <v>2.9735714285714185E-4</v>
      </c>
      <c r="AJ166" s="287">
        <f t="shared" si="16"/>
        <v>0</v>
      </c>
      <c r="AK166" s="267">
        <f t="shared" si="17"/>
        <v>7.7876363636363237</v>
      </c>
      <c r="AL166" s="267">
        <f t="shared" si="18"/>
        <v>4.527857142857215</v>
      </c>
    </row>
    <row r="167" spans="28:38">
      <c r="AB167" s="286">
        <v>38412</v>
      </c>
      <c r="AC167" s="93">
        <v>3</v>
      </c>
      <c r="AD167" s="282">
        <v>285.41788636363646</v>
      </c>
      <c r="AE167" s="285">
        <v>-0.40839030303030321</v>
      </c>
      <c r="AF167" s="285">
        <v>2.2660606060606072E-4</v>
      </c>
      <c r="AG167" s="282">
        <v>192.0345089285716</v>
      </c>
      <c r="AH167" s="285">
        <v>-0.17044047619047681</v>
      </c>
      <c r="AI167" s="285">
        <v>6.3071428571429125E-5</v>
      </c>
      <c r="AJ167" s="287">
        <f t="shared" si="16"/>
        <v>0</v>
      </c>
      <c r="AK167" s="267">
        <f t="shared" si="17"/>
        <v>9.1141818181818053</v>
      </c>
      <c r="AL167" s="267">
        <f t="shared" si="18"/>
        <v>8.2140476190476193</v>
      </c>
    </row>
    <row r="168" spans="28:38">
      <c r="AB168" s="286">
        <v>38443</v>
      </c>
      <c r="AC168" s="93">
        <v>4</v>
      </c>
      <c r="AD168" s="282">
        <v>315.06794696969712</v>
      </c>
      <c r="AE168" s="285">
        <v>-0.4705866666666671</v>
      </c>
      <c r="AF168" s="285">
        <v>2.6636363636363663E-4</v>
      </c>
      <c r="AG168" s="282">
        <v>231.91625000000016</v>
      </c>
      <c r="AH168" s="285">
        <v>-0.25696666666666723</v>
      </c>
      <c r="AI168" s="285">
        <v>1.1533333333333382E-4</v>
      </c>
      <c r="AJ168" s="287">
        <f t="shared" si="16"/>
        <v>0</v>
      </c>
      <c r="AK168" s="267">
        <f t="shared" si="17"/>
        <v>9.767757575757571</v>
      </c>
      <c r="AL168" s="267">
        <f t="shared" si="18"/>
        <v>9.5499999999999829</v>
      </c>
    </row>
    <row r="169" spans="28:38">
      <c r="AB169" s="286">
        <v>38473</v>
      </c>
      <c r="AC169" s="93">
        <v>5</v>
      </c>
      <c r="AD169" s="282">
        <v>255.41506250000009</v>
      </c>
      <c r="AE169" s="285">
        <v>-0.30265545454545484</v>
      </c>
      <c r="AF169" s="285">
        <v>1.5295454545454567E-4</v>
      </c>
      <c r="AG169" s="282">
        <v>230.431473214286</v>
      </c>
      <c r="AH169" s="285">
        <v>-0.26017857142857237</v>
      </c>
      <c r="AI169" s="285">
        <v>1.254523809523818E-4</v>
      </c>
      <c r="AJ169" s="287">
        <f t="shared" si="16"/>
        <v>0</v>
      </c>
      <c r="AK169" s="267">
        <f t="shared" si="17"/>
        <v>8.8519090909090608</v>
      </c>
      <c r="AL169" s="267">
        <f t="shared" si="18"/>
        <v>8.4545238095237778</v>
      </c>
    </row>
    <row r="170" spans="28:38">
      <c r="AB170" s="286">
        <v>38504</v>
      </c>
      <c r="AC170" s="93">
        <v>6</v>
      </c>
      <c r="AD170" s="282">
        <v>278.78462878787883</v>
      </c>
      <c r="AE170" s="285">
        <v>-0.37946060606060616</v>
      </c>
      <c r="AF170" s="285">
        <v>2.1315151515151519E-4</v>
      </c>
      <c r="AG170" s="282">
        <v>231.05269562380093</v>
      </c>
      <c r="AH170" s="285">
        <v>-0.27359910118499559</v>
      </c>
      <c r="AI170" s="285">
        <v>1.4422486826248671E-4</v>
      </c>
      <c r="AJ170" s="287">
        <f t="shared" si="16"/>
        <v>0</v>
      </c>
      <c r="AK170" s="267">
        <f t="shared" si="17"/>
        <v>8.1048484848485316</v>
      </c>
      <c r="AL170" s="267">
        <f t="shared" si="18"/>
        <v>7.1684285617513979</v>
      </c>
    </row>
    <row r="171" spans="28:38">
      <c r="AB171" s="286">
        <v>38534</v>
      </c>
      <c r="AC171" s="93">
        <v>7</v>
      </c>
      <c r="AD171" s="282">
        <v>224.02593939393938</v>
      </c>
      <c r="AE171" s="285">
        <v>-0.24057939393939384</v>
      </c>
      <c r="AF171" s="285">
        <v>1.2266666666666657E-4</v>
      </c>
      <c r="AG171" s="282">
        <v>281.48290968978318</v>
      </c>
      <c r="AH171" s="285">
        <v>-0.4803228393327556</v>
      </c>
      <c r="AI171" s="285">
        <v>3.2832996151226557E-4</v>
      </c>
      <c r="AJ171" s="287">
        <f t="shared" si="16"/>
        <v>0</v>
      </c>
      <c r="AK171" s="267">
        <f t="shared" si="17"/>
        <v>6.8846060606060462</v>
      </c>
      <c r="AL171" s="267">
        <f t="shared" si="18"/>
        <v>2.0660893215583087</v>
      </c>
    </row>
    <row r="172" spans="28:38">
      <c r="AB172" s="286">
        <v>38565</v>
      </c>
      <c r="AC172" s="93">
        <v>8</v>
      </c>
      <c r="AD172" s="282">
        <v>231.01825568181823</v>
      </c>
      <c r="AE172" s="285">
        <v>-0.27519545454545469</v>
      </c>
      <c r="AF172" s="285">
        <v>1.5577272727272735E-4</v>
      </c>
      <c r="AG172" s="282">
        <v>237.61861607142862</v>
      </c>
      <c r="AH172" s="285">
        <v>-0.34019761904761947</v>
      </c>
      <c r="AI172" s="285">
        <v>2.1821428571428621E-4</v>
      </c>
      <c r="AJ172" s="287">
        <f t="shared" si="16"/>
        <v>0</v>
      </c>
      <c r="AK172" s="267">
        <f t="shared" si="17"/>
        <v>5.7113636363635862</v>
      </c>
      <c r="AL172" s="267">
        <f t="shared" si="18"/>
        <v>3.4697619047618673</v>
      </c>
    </row>
    <row r="173" spans="28:38">
      <c r="AB173" s="286">
        <v>38596</v>
      </c>
      <c r="AC173" s="93">
        <v>9</v>
      </c>
      <c r="AD173" s="282">
        <v>273.61883901515154</v>
      </c>
      <c r="AE173" s="285">
        <v>-0.38861000000000012</v>
      </c>
      <c r="AF173" s="285">
        <v>2.3498484848484856E-4</v>
      </c>
      <c r="AG173" s="282">
        <v>197.24611607142879</v>
      </c>
      <c r="AH173" s="285">
        <v>-0.19642619047619136</v>
      </c>
      <c r="AI173" s="285">
        <v>1.0526190476190555E-4</v>
      </c>
      <c r="AJ173" s="287">
        <f t="shared" si="16"/>
        <v>0</v>
      </c>
      <c r="AK173" s="267">
        <f t="shared" si="17"/>
        <v>5.9631212121211945</v>
      </c>
      <c r="AL173" s="267">
        <f t="shared" si="18"/>
        <v>4.9059523809523569</v>
      </c>
    </row>
    <row r="174" spans="28:38">
      <c r="AB174" s="286">
        <v>38626</v>
      </c>
      <c r="AC174" s="93">
        <v>10</v>
      </c>
      <c r="AD174" s="282">
        <v>247.04819696969702</v>
      </c>
      <c r="AE174" s="285">
        <v>-0.32862060606060611</v>
      </c>
      <c r="AF174" s="285">
        <v>2.0496969696969699E-4</v>
      </c>
      <c r="AG174" s="282">
        <v>220.91714285714312</v>
      </c>
      <c r="AH174" s="285">
        <v>-0.30015714285714379</v>
      </c>
      <c r="AI174" s="285">
        <v>2.0438095238095323E-4</v>
      </c>
      <c r="AJ174" s="287">
        <f t="shared" si="16"/>
        <v>0</v>
      </c>
      <c r="AK174" s="267">
        <f t="shared" si="17"/>
        <v>4.1663030303029984</v>
      </c>
      <c r="AL174" s="267">
        <f t="shared" si="18"/>
        <v>1.4023809523809518</v>
      </c>
    </row>
    <row r="175" spans="28:38">
      <c r="AB175" s="286">
        <v>38657</v>
      </c>
      <c r="AC175" s="93">
        <v>11</v>
      </c>
      <c r="AD175" s="282">
        <v>285.43291666666664</v>
      </c>
      <c r="AE175" s="285">
        <v>-0.43254909090909077</v>
      </c>
      <c r="AF175" s="285">
        <v>2.7242424242424231E-4</v>
      </c>
      <c r="AG175" s="282">
        <v>244.5697767857144</v>
      </c>
      <c r="AH175" s="285">
        <v>-0.36014523809523863</v>
      </c>
      <c r="AI175" s="285">
        <v>2.4130952380952439E-4</v>
      </c>
      <c r="AJ175" s="287">
        <f t="shared" si="16"/>
        <v>0</v>
      </c>
      <c r="AK175" s="267">
        <f t="shared" si="17"/>
        <v>5.1155151515150692</v>
      </c>
      <c r="AL175" s="267">
        <f t="shared" si="18"/>
        <v>2.2311904761904771</v>
      </c>
    </row>
    <row r="176" spans="28:38">
      <c r="AB176" s="286">
        <v>38687</v>
      </c>
      <c r="AC176" s="93">
        <v>12</v>
      </c>
      <c r="AD176" s="282">
        <v>277.4785265151516</v>
      </c>
      <c r="AE176" s="285">
        <v>-0.3960551515151518</v>
      </c>
      <c r="AF176" s="285">
        <v>2.3796969696969716E-4</v>
      </c>
      <c r="AG176" s="282">
        <v>274.37995431257809</v>
      </c>
      <c r="AH176" s="285">
        <v>-0.45735324500293612</v>
      </c>
      <c r="AI176" s="285">
        <v>3.1763070128430998E-4</v>
      </c>
      <c r="AJ176" s="287">
        <f t="shared" si="16"/>
        <v>0</v>
      </c>
      <c r="AK176" s="267">
        <f t="shared" si="17"/>
        <v>6.2897575757575908</v>
      </c>
      <c r="AL176" s="267">
        <f t="shared" si="18"/>
        <v>1.2670263204903449</v>
      </c>
    </row>
    <row r="177" spans="28:38">
      <c r="AB177" s="286">
        <v>38718</v>
      </c>
      <c r="AC177" s="93">
        <v>1</v>
      </c>
      <c r="AD177" s="282">
        <v>284.36302651515155</v>
      </c>
      <c r="AE177" s="285">
        <v>-0.40173636363636367</v>
      </c>
      <c r="AF177" s="285">
        <v>2.2984848484848487E-4</v>
      </c>
      <c r="AG177" s="282">
        <v>221.24187500000005</v>
      </c>
      <c r="AH177" s="285">
        <v>-0.24730000000000024</v>
      </c>
      <c r="AI177" s="285">
        <v>1.263333333333336E-4</v>
      </c>
      <c r="AJ177" s="287">
        <f t="shared" si="16"/>
        <v>0</v>
      </c>
      <c r="AK177" s="267">
        <f t="shared" si="17"/>
        <v>7.9948484848485464</v>
      </c>
      <c r="AL177" s="267">
        <f t="shared" si="18"/>
        <v>7.0433333333333792</v>
      </c>
    </row>
    <row r="178" spans="28:38">
      <c r="AB178" s="286">
        <v>38749</v>
      </c>
      <c r="AC178" s="93">
        <v>2</v>
      </c>
      <c r="AD178" s="282">
        <v>303.30840530303044</v>
      </c>
      <c r="AE178" s="285">
        <v>-0.4371593939393944</v>
      </c>
      <c r="AF178" s="285">
        <v>2.3675757575757607E-4</v>
      </c>
      <c r="AG178" s="282">
        <v>236.09258928571444</v>
      </c>
      <c r="AH178" s="285">
        <v>-0.28712380952381006</v>
      </c>
      <c r="AI178" s="285">
        <v>1.4252380952381002E-4</v>
      </c>
      <c r="AJ178" s="287">
        <f t="shared" si="16"/>
        <v>0</v>
      </c>
      <c r="AK178" s="267">
        <f t="shared" si="17"/>
        <v>10.569878787878849</v>
      </c>
      <c r="AL178" s="267">
        <f t="shared" si="18"/>
        <v>8.7590476190476068</v>
      </c>
    </row>
    <row r="179" spans="28:38">
      <c r="AB179" s="286">
        <v>38777</v>
      </c>
      <c r="AC179" s="93">
        <v>3</v>
      </c>
      <c r="AD179" s="282">
        <v>232.12699053030306</v>
      </c>
      <c r="AE179" s="285">
        <v>-0.24157121212121221</v>
      </c>
      <c r="AF179" s="285">
        <v>9.5348484848484924E-5</v>
      </c>
      <c r="AG179" s="282">
        <v>188.90040178571422</v>
      </c>
      <c r="AH179" s="285">
        <v>-0.15253095238095229</v>
      </c>
      <c r="AI179" s="285">
        <v>3.3452380952380959E-5</v>
      </c>
      <c r="AJ179" s="287">
        <f t="shared" si="16"/>
        <v>0</v>
      </c>
      <c r="AK179" s="267">
        <f t="shared" si="17"/>
        <v>10.808333333333337</v>
      </c>
      <c r="AL179" s="267">
        <f t="shared" si="18"/>
        <v>10.56976190476189</v>
      </c>
    </row>
    <row r="180" spans="28:38">
      <c r="AB180" s="286">
        <v>38808</v>
      </c>
      <c r="AC180" s="93">
        <v>4</v>
      </c>
      <c r="AD180" s="282">
        <v>251.37488636363639</v>
      </c>
      <c r="AE180" s="285">
        <v>-0.31835151515151539</v>
      </c>
      <c r="AF180" s="285">
        <v>1.5848484848484867E-4</v>
      </c>
      <c r="AG180" s="282">
        <v>224.11455357142859</v>
      </c>
      <c r="AH180" s="285">
        <v>-0.27237619047619072</v>
      </c>
      <c r="AI180" s="285">
        <v>1.2909523809523843E-4</v>
      </c>
      <c r="AJ180" s="287">
        <f t="shared" si="16"/>
        <v>0</v>
      </c>
      <c r="AK180" s="267">
        <f t="shared" si="17"/>
        <v>9.6472727272727639</v>
      </c>
      <c r="AL180" s="267">
        <f t="shared" si="18"/>
        <v>9.164285714285711</v>
      </c>
    </row>
    <row r="181" spans="28:38">
      <c r="AB181" s="286">
        <v>38838</v>
      </c>
      <c r="AC181" s="93">
        <v>5</v>
      </c>
      <c r="AD181" s="282">
        <v>250.59258712121218</v>
      </c>
      <c r="AE181" s="285">
        <v>-0.33358242424242446</v>
      </c>
      <c r="AF181" s="285">
        <v>1.8463636363636379E-4</v>
      </c>
      <c r="AG181" s="282">
        <v>207.75898741815649</v>
      </c>
      <c r="AH181" s="285">
        <v>-0.22717525464519703</v>
      </c>
      <c r="AI181" s="285">
        <v>1.0490770503843009E-4</v>
      </c>
      <c r="AJ181" s="287">
        <f t="shared" si="16"/>
        <v>0</v>
      </c>
      <c r="AK181" s="267">
        <f t="shared" si="17"/>
        <v>7.5091515151515296</v>
      </c>
      <c r="AL181" s="267">
        <f t="shared" si="18"/>
        <v>8.0304467591395223</v>
      </c>
    </row>
    <row r="182" spans="28:38">
      <c r="AB182" s="286">
        <v>38869</v>
      </c>
      <c r="AC182" s="93">
        <v>6</v>
      </c>
      <c r="AD182" s="282">
        <v>229.02244318181826</v>
      </c>
      <c r="AE182" s="285">
        <v>-0.26243696969697</v>
      </c>
      <c r="AF182" s="285">
        <v>1.4312121212121235E-4</v>
      </c>
      <c r="AG182" s="282">
        <v>223.82278205000955</v>
      </c>
      <c r="AH182" s="285">
        <v>-0.27110494139524416</v>
      </c>
      <c r="AI182" s="285">
        <v>1.5276206793507055E-4</v>
      </c>
      <c r="AJ182" s="287">
        <f t="shared" si="16"/>
        <v>0</v>
      </c>
      <c r="AK182" s="267">
        <f t="shared" si="17"/>
        <v>6.2067272727273348</v>
      </c>
      <c r="AL182" s="267">
        <f t="shared" si="18"/>
        <v>5.7238046286145448</v>
      </c>
    </row>
    <row r="183" spans="28:38">
      <c r="AB183" s="286">
        <v>38899</v>
      </c>
      <c r="AC183" s="93">
        <v>7</v>
      </c>
      <c r="AD183" s="282">
        <v>237.60607007575751</v>
      </c>
      <c r="AE183" s="285">
        <v>-0.27056818181818165</v>
      </c>
      <c r="AF183" s="285">
        <v>1.4610606060606047E-4</v>
      </c>
      <c r="AG183" s="282">
        <v>206.29560977500472</v>
      </c>
      <c r="AH183" s="285">
        <v>-0.22263223260238377</v>
      </c>
      <c r="AI183" s="285">
        <v>1.2591674825324943E-4</v>
      </c>
      <c r="AJ183" s="287">
        <f t="shared" si="16"/>
        <v>0</v>
      </c>
      <c r="AK183" s="267">
        <f t="shared" si="17"/>
        <v>6.6019696969697179</v>
      </c>
      <c r="AL183" s="267">
        <f t="shared" si="18"/>
        <v>4.634878504783444</v>
      </c>
    </row>
    <row r="184" spans="28:38">
      <c r="AB184" s="286">
        <v>38930</v>
      </c>
      <c r="AC184" s="93">
        <v>8</v>
      </c>
      <c r="AD184" s="282">
        <v>245.90811363636359</v>
      </c>
      <c r="AE184" s="285">
        <v>-0.31441090909090885</v>
      </c>
      <c r="AF184" s="285">
        <v>1.8527272727272706E-4</v>
      </c>
      <c r="AG184" s="282">
        <v>227.07598214285719</v>
      </c>
      <c r="AH184" s="285">
        <v>-0.28693333333333365</v>
      </c>
      <c r="AI184" s="285">
        <v>1.7138095238095275E-4</v>
      </c>
      <c r="AJ184" s="287">
        <f t="shared" si="16"/>
        <v>0</v>
      </c>
      <c r="AK184" s="267">
        <f t="shared" si="17"/>
        <v>5.5029090909091281</v>
      </c>
      <c r="AL184" s="267">
        <f t="shared" si="18"/>
        <v>4.7000000000000171</v>
      </c>
    </row>
    <row r="185" spans="28:38">
      <c r="AB185" s="286">
        <v>38961</v>
      </c>
      <c r="AC185" s="93">
        <v>9</v>
      </c>
      <c r="AD185" s="282">
        <v>217.12368371212119</v>
      </c>
      <c r="AE185" s="285">
        <v>-0.22336696969696962</v>
      </c>
      <c r="AF185" s="285">
        <v>1.2059090909090901E-4</v>
      </c>
      <c r="AG185" s="282">
        <v>224.20375000000007</v>
      </c>
      <c r="AH185" s="285">
        <v>-0.28694285714285744</v>
      </c>
      <c r="AI185" s="285">
        <v>1.7990476190476223E-4</v>
      </c>
      <c r="AJ185" s="287">
        <f t="shared" si="16"/>
        <v>0</v>
      </c>
      <c r="AK185" s="267">
        <f t="shared" si="17"/>
        <v>5.4539696969696934</v>
      </c>
      <c r="AL185" s="267">
        <f t="shared" si="18"/>
        <v>3.5076190476190163</v>
      </c>
    </row>
    <row r="186" spans="28:38">
      <c r="AB186" s="286">
        <v>38991</v>
      </c>
      <c r="AC186" s="93">
        <v>10</v>
      </c>
      <c r="AD186" s="282">
        <v>264.78182007575759</v>
      </c>
      <c r="AE186" s="285">
        <v>-0.4005948484848485</v>
      </c>
      <c r="AF186" s="285">
        <v>2.5743939393939395E-4</v>
      </c>
      <c r="AG186" s="282">
        <v>202.72352678571434</v>
      </c>
      <c r="AH186" s="285">
        <v>-0.25027857142857168</v>
      </c>
      <c r="AI186" s="285">
        <v>1.5664285714285742E-4</v>
      </c>
      <c r="AJ186" s="287">
        <f t="shared" si="16"/>
        <v>0</v>
      </c>
      <c r="AK186" s="267">
        <f t="shared" si="17"/>
        <v>4.0179696969697147</v>
      </c>
      <c r="AL186" s="267">
        <f t="shared" si="18"/>
        <v>3.0978571428571229</v>
      </c>
    </row>
    <row r="187" spans="28:38">
      <c r="AB187" s="286">
        <v>39022</v>
      </c>
      <c r="AC187" s="93">
        <v>11</v>
      </c>
      <c r="AD187" s="282">
        <v>262.90536174242425</v>
      </c>
      <c r="AE187" s="285">
        <v>-0.42115181818181829</v>
      </c>
      <c r="AF187" s="285">
        <v>2.7007575757575765E-4</v>
      </c>
      <c r="AG187" s="282">
        <v>230.80290178571414</v>
      </c>
      <c r="AH187" s="285">
        <v>-0.37841666666666629</v>
      </c>
      <c r="AI187" s="285">
        <v>2.6392857142857126E-4</v>
      </c>
      <c r="AJ187" s="287">
        <f t="shared" si="16"/>
        <v>0</v>
      </c>
      <c r="AK187" s="267">
        <f t="shared" si="17"/>
        <v>4.3045757575756909</v>
      </c>
      <c r="AL187" s="267">
        <f t="shared" si="18"/>
        <v>0.89166666666662309</v>
      </c>
    </row>
    <row r="188" spans="28:38">
      <c r="AB188" s="286">
        <v>39052</v>
      </c>
      <c r="AC188" s="93">
        <v>12</v>
      </c>
      <c r="AD188" s="282">
        <v>223.36239962121212</v>
      </c>
      <c r="AE188" s="285">
        <v>-0.314749393939394</v>
      </c>
      <c r="AF188" s="285">
        <v>2.00439393939394E-4</v>
      </c>
      <c r="AG188" s="282">
        <v>221.63607142857137</v>
      </c>
      <c r="AH188" s="285">
        <v>-0.36980476190476186</v>
      </c>
      <c r="AI188" s="285">
        <v>2.6876190476190484E-4</v>
      </c>
      <c r="AJ188" s="287">
        <f t="shared" si="16"/>
        <v>0</v>
      </c>
      <c r="AK188" s="267">
        <f t="shared" si="17"/>
        <v>3.4134242424242132</v>
      </c>
      <c r="AL188" s="267">
        <f t="shared" si="18"/>
        <v>-0.64619047619044068</v>
      </c>
    </row>
    <row r="189" spans="28:38">
      <c r="AB189" s="286">
        <v>39083</v>
      </c>
      <c r="AC189" s="93">
        <v>1</v>
      </c>
      <c r="AD189" s="282">
        <v>228.52618560606055</v>
      </c>
      <c r="AE189" s="285">
        <v>-0.33326969696969683</v>
      </c>
      <c r="AF189" s="285">
        <v>2.0942424242424232E-4</v>
      </c>
      <c r="AG189" s="282">
        <v>172.77165178571434</v>
      </c>
      <c r="AH189" s="285">
        <v>-0.20023095238095273</v>
      </c>
      <c r="AI189" s="285">
        <v>1.2345238095238132E-4</v>
      </c>
      <c r="AJ189" s="287">
        <f t="shared" si="16"/>
        <v>0</v>
      </c>
      <c r="AK189" s="267">
        <f t="shared" si="17"/>
        <v>4.0075757575757791</v>
      </c>
      <c r="AL189" s="267">
        <f t="shared" si="18"/>
        <v>2.7397619047618775</v>
      </c>
    </row>
    <row r="190" spans="28:38">
      <c r="AB190" s="286">
        <v>39114</v>
      </c>
      <c r="AC190" s="93">
        <v>2</v>
      </c>
      <c r="AD190" s="282">
        <v>220.33803787878787</v>
      </c>
      <c r="AE190" s="285">
        <v>-0.25593212121212122</v>
      </c>
      <c r="AF190" s="285">
        <v>1.2890909090909093E-4</v>
      </c>
      <c r="AG190" s="282">
        <v>162.63870535714295</v>
      </c>
      <c r="AH190" s="285">
        <v>-0.14247857142857182</v>
      </c>
      <c r="AI190" s="285">
        <v>6.8166666666667045E-5</v>
      </c>
      <c r="AJ190" s="287">
        <f t="shared" si="16"/>
        <v>0</v>
      </c>
      <c r="AK190" s="267">
        <f t="shared" si="17"/>
        <v>7.5459393939393919</v>
      </c>
      <c r="AL190" s="267">
        <f t="shared" si="18"/>
        <v>4.7045238095238062</v>
      </c>
    </row>
    <row r="191" spans="28:38">
      <c r="AB191" s="286">
        <v>39142</v>
      </c>
      <c r="AC191" s="93">
        <v>3</v>
      </c>
      <c r="AD191" s="282">
        <v>232.1480606060606</v>
      </c>
      <c r="AE191" s="285">
        <v>-0.26258060606060607</v>
      </c>
      <c r="AF191" s="285">
        <v>1.2533333333333334E-4</v>
      </c>
      <c r="AG191" s="282">
        <v>172.2680357142859</v>
      </c>
      <c r="AH191" s="285">
        <v>-0.15127142857142925</v>
      </c>
      <c r="AI191" s="285">
        <v>6.7523809523810125E-5</v>
      </c>
      <c r="AJ191" s="287">
        <f t="shared" si="16"/>
        <v>0</v>
      </c>
      <c r="AK191" s="267">
        <f t="shared" si="17"/>
        <v>8.7113939393939575</v>
      </c>
      <c r="AL191" s="267">
        <f t="shared" si="18"/>
        <v>5.6738095238095241</v>
      </c>
    </row>
    <row r="192" spans="28:38">
      <c r="AB192" s="286">
        <v>39173</v>
      </c>
      <c r="AC192" s="93">
        <v>4</v>
      </c>
      <c r="AD192" s="282">
        <v>184.71660606060607</v>
      </c>
      <c r="AE192" s="285">
        <v>-0.12156848484848487</v>
      </c>
      <c r="AF192" s="285">
        <v>2.9090909090909096E-5</v>
      </c>
      <c r="AG192" s="282">
        <v>146.0008928571429</v>
      </c>
      <c r="AH192" s="285">
        <v>-6.9042857142857295E-2</v>
      </c>
      <c r="AI192" s="285">
        <v>1.1523809523809683E-5</v>
      </c>
      <c r="AJ192" s="287">
        <f t="shared" si="16"/>
        <v>0</v>
      </c>
      <c r="AK192" s="267">
        <f t="shared" si="17"/>
        <v>8.0841212121212038</v>
      </c>
      <c r="AL192" s="267">
        <f t="shared" si="18"/>
        <v>5.2909523809524046</v>
      </c>
    </row>
    <row r="193" spans="28:38">
      <c r="AB193" s="286">
        <v>39203</v>
      </c>
      <c r="AC193" s="93">
        <v>5</v>
      </c>
      <c r="AD193" s="282">
        <v>169.29384064230163</v>
      </c>
      <c r="AE193" s="285">
        <v>-0.10113192289735908</v>
      </c>
      <c r="AF193" s="285">
        <v>3.1099688415619691E-5</v>
      </c>
      <c r="AG193" s="282">
        <v>131.74919642857134</v>
      </c>
      <c r="AH193" s="285">
        <v>-2.1880952380952091E-2</v>
      </c>
      <c r="AI193" s="285">
        <v>-2.3666666666666899E-5</v>
      </c>
      <c r="AJ193" s="287">
        <f t="shared" si="16"/>
        <v>0</v>
      </c>
      <c r="AK193" s="267">
        <f t="shared" si="17"/>
        <v>5.7592359115491547</v>
      </c>
      <c r="AL193" s="267">
        <f t="shared" si="18"/>
        <v>5.5014285714286189</v>
      </c>
    </row>
    <row r="194" spans="28:38">
      <c r="AB194" s="286">
        <v>39234</v>
      </c>
      <c r="AC194" s="93">
        <v>6</v>
      </c>
      <c r="AD194" s="282">
        <v>222.24866193354359</v>
      </c>
      <c r="AE194" s="285">
        <v>-0.24722735377668076</v>
      </c>
      <c r="AF194" s="285">
        <v>1.3133985779012581E-4</v>
      </c>
      <c r="AG194" s="282">
        <v>155.8812050944731</v>
      </c>
      <c r="AH194" s="285">
        <v>-0.1016355604492236</v>
      </c>
      <c r="AI194" s="285">
        <v>3.8799629395901878E-5</v>
      </c>
      <c r="AJ194" s="287">
        <f t="shared" si="16"/>
        <v>0</v>
      </c>
      <c r="AK194" s="267">
        <f t="shared" si="17"/>
        <v>6.335155287050469</v>
      </c>
      <c r="AL194" s="267">
        <f t="shared" si="18"/>
        <v>4.7316079294961071</v>
      </c>
    </row>
    <row r="195" spans="28:38">
      <c r="AB195" s="286">
        <v>39264</v>
      </c>
      <c r="AC195" s="93">
        <v>7</v>
      </c>
      <c r="AD195" s="282">
        <v>196.75143371212118</v>
      </c>
      <c r="AE195" s="285">
        <v>-0.17112575757575743</v>
      </c>
      <c r="AF195" s="285">
        <v>8.6712121212121089E-5</v>
      </c>
      <c r="AG195" s="282">
        <v>170.86671328579141</v>
      </c>
      <c r="AH195" s="285">
        <v>-0.13703186642833384</v>
      </c>
      <c r="AI195" s="285">
        <v>7.2370960822294828E-5</v>
      </c>
      <c r="AJ195" s="287">
        <f t="shared" si="16"/>
        <v>0</v>
      </c>
      <c r="AK195" s="267">
        <f t="shared" si="17"/>
        <v>4.9728787878787841</v>
      </c>
      <c r="AL195" s="267">
        <f t="shared" si="18"/>
        <v>3.5712521277121141</v>
      </c>
    </row>
    <row r="196" spans="28:38">
      <c r="AB196" s="286">
        <v>39295</v>
      </c>
      <c r="AC196" s="93">
        <v>8</v>
      </c>
      <c r="AD196" s="282">
        <v>233.02228598484851</v>
      </c>
      <c r="AE196" s="285">
        <v>-0.28479545454545463</v>
      </c>
      <c r="AF196" s="285">
        <v>1.7346969696969703E-4</v>
      </c>
      <c r="AG196" s="282">
        <v>122.91750000000012</v>
      </c>
      <c r="AH196" s="285">
        <v>3.0738095238094801E-2</v>
      </c>
      <c r="AI196" s="285">
        <v>-6.0952380952380611E-5</v>
      </c>
      <c r="AJ196" s="287">
        <f t="shared" si="16"/>
        <v>0</v>
      </c>
      <c r="AK196" s="267">
        <f t="shared" si="17"/>
        <v>4.1937878787878446</v>
      </c>
      <c r="AL196" s="267">
        <f t="shared" si="18"/>
        <v>5.4595238095238017</v>
      </c>
    </row>
    <row r="197" spans="28:38">
      <c r="AB197" s="286">
        <v>39326</v>
      </c>
      <c r="AC197" s="93">
        <v>9</v>
      </c>
      <c r="AD197" s="282">
        <v>192.22990909090908</v>
      </c>
      <c r="AE197" s="285">
        <v>-0.16115999999999994</v>
      </c>
      <c r="AF197" s="285">
        <v>8.2909090909090858E-5</v>
      </c>
      <c r="AG197" s="282">
        <v>183.72473214285708</v>
      </c>
      <c r="AH197" s="285">
        <v>-0.17537619047619044</v>
      </c>
      <c r="AI197" s="285">
        <v>1.0461904761904764E-4</v>
      </c>
      <c r="AJ197" s="287">
        <f t="shared" si="16"/>
        <v>0</v>
      </c>
      <c r="AK197" s="267">
        <f t="shared" si="17"/>
        <v>4.5087272727272705</v>
      </c>
      <c r="AL197" s="267">
        <f t="shared" si="18"/>
        <v>2.8909523809523705</v>
      </c>
    </row>
    <row r="198" spans="28:38">
      <c r="AB198" s="286">
        <v>39356</v>
      </c>
      <c r="AC198" s="93">
        <v>10</v>
      </c>
      <c r="AD198" s="282">
        <v>215.60205303030301</v>
      </c>
      <c r="AE198" s="285">
        <v>-0.26830060606060585</v>
      </c>
      <c r="AF198" s="285">
        <v>1.729090909090907E-4</v>
      </c>
      <c r="AG198" s="282">
        <v>162.77611607142865</v>
      </c>
      <c r="AH198" s="285">
        <v>-0.13434523809523846</v>
      </c>
      <c r="AI198" s="285">
        <v>7.7071428571428937E-5</v>
      </c>
      <c r="AJ198" s="287">
        <f t="shared" si="16"/>
        <v>0</v>
      </c>
      <c r="AK198" s="267">
        <f t="shared" si="17"/>
        <v>2.6227878787878467</v>
      </c>
      <c r="AL198" s="267">
        <f t="shared" si="18"/>
        <v>2.6445238095238039</v>
      </c>
    </row>
    <row r="199" spans="28:38">
      <c r="AB199" s="286">
        <v>39387</v>
      </c>
      <c r="AC199" s="93">
        <v>11</v>
      </c>
      <c r="AD199" s="282">
        <v>251.64317992424247</v>
      </c>
      <c r="AE199" s="285">
        <v>-0.39274939393939401</v>
      </c>
      <c r="AF199" s="285">
        <v>2.6813636363636368E-4</v>
      </c>
      <c r="AG199" s="282">
        <v>186.91482142857132</v>
      </c>
      <c r="AH199" s="285">
        <v>-0.24228095238095221</v>
      </c>
      <c r="AI199" s="285">
        <v>1.7666666666666663E-4</v>
      </c>
      <c r="AJ199" s="287">
        <f t="shared" si="16"/>
        <v>0</v>
      </c>
      <c r="AK199" s="267">
        <f t="shared" si="17"/>
        <v>1.7358484848485318</v>
      </c>
      <c r="AL199" s="267">
        <f t="shared" si="18"/>
        <v>-0.50523809523812702</v>
      </c>
    </row>
    <row r="200" spans="28:38">
      <c r="AB200" s="286">
        <v>39417</v>
      </c>
      <c r="AC200" s="93">
        <v>12</v>
      </c>
      <c r="AD200" s="282">
        <v>227.01204356060609</v>
      </c>
      <c r="AE200" s="285">
        <v>-0.32031060606060607</v>
      </c>
      <c r="AF200" s="285">
        <v>2.0837878787878785E-4</v>
      </c>
      <c r="AG200" s="282">
        <v>188.17357142857148</v>
      </c>
      <c r="AH200" s="285">
        <v>-0.25945714285714322</v>
      </c>
      <c r="AI200" s="285">
        <v>1.9257142857142899E-4</v>
      </c>
      <c r="AJ200" s="287">
        <f t="shared" si="16"/>
        <v>0</v>
      </c>
      <c r="AK200" s="267">
        <f t="shared" si="17"/>
        <v>2.8580303030303469</v>
      </c>
      <c r="AL200" s="267">
        <f t="shared" si="18"/>
        <v>-1.0142857142857622</v>
      </c>
    </row>
    <row r="201" spans="28:38">
      <c r="AB201" s="286">
        <v>39448</v>
      </c>
      <c r="AC201" s="93">
        <v>1</v>
      </c>
      <c r="AD201" s="282">
        <v>210.25964015151516</v>
      </c>
      <c r="AE201" s="285">
        <v>-0.24879333333333334</v>
      </c>
      <c r="AF201" s="285">
        <v>1.3451515151515151E-4</v>
      </c>
      <c r="AG201" s="282">
        <v>190.88357142857134</v>
      </c>
      <c r="AH201" s="285">
        <v>-0.2573095238095236</v>
      </c>
      <c r="AI201" s="285">
        <v>1.6838095238095232E-4</v>
      </c>
      <c r="AJ201" s="287">
        <f t="shared" ref="AJ201:AJ264" si="19">VLOOKUP(YEAR(AB201),S$8:T$40,2)*VLOOKUP(AC201,U$8:V$19,2)</f>
        <v>0</v>
      </c>
      <c r="AK201" s="267">
        <f t="shared" si="17"/>
        <v>6.0472121212121408</v>
      </c>
      <c r="AL201" s="267">
        <f t="shared" si="18"/>
        <v>2.1576190476190504</v>
      </c>
    </row>
    <row r="202" spans="28:38">
      <c r="AB202" s="286">
        <v>39479</v>
      </c>
      <c r="AC202" s="93">
        <v>2</v>
      </c>
      <c r="AD202" s="282">
        <v>218.20097727272739</v>
      </c>
      <c r="AE202" s="285">
        <v>-0.22822787878787903</v>
      </c>
      <c r="AF202" s="285">
        <v>1.0393939393939411E-4</v>
      </c>
      <c r="AG202" s="282">
        <v>191.84218749999994</v>
      </c>
      <c r="AH202" s="285">
        <v>-0.21278809523809519</v>
      </c>
      <c r="AI202" s="285">
        <v>1.1345238095238098E-4</v>
      </c>
      <c r="AJ202" s="287">
        <f t="shared" si="19"/>
        <v>0</v>
      </c>
      <c r="AK202" s="267">
        <f t="shared" ref="AK202:AK265" si="20">((AD202+AE202*($C$12-25)+AF202*($C$12-25)^2-(AD202+AE202*($C$12+25)+AF202*($C$12+25)^2)))/(50/100)</f>
        <v>8.2712727272727022</v>
      </c>
      <c r="AL202" s="267">
        <f t="shared" ref="AL202:AL265" si="21">((AG202+AH202*($C$12-25)+AI202*($C$12-25)^2-(AG202+AH202*($C$12+25)+AI202*($C$12+25)^2)))/(50/100)</f>
        <v>5.3954761904761597</v>
      </c>
    </row>
    <row r="203" spans="28:38">
      <c r="AB203" s="286">
        <v>39508</v>
      </c>
      <c r="AC203" s="93">
        <v>3</v>
      </c>
      <c r="AD203" s="282">
        <v>220.39092803030303</v>
      </c>
      <c r="AE203" s="285">
        <v>-0.22701999999999992</v>
      </c>
      <c r="AF203" s="285">
        <v>9.1969696969696895E-5</v>
      </c>
      <c r="AG203" s="282">
        <v>185.31732142857132</v>
      </c>
      <c r="AH203" s="285">
        <v>-0.1992285714285712</v>
      </c>
      <c r="AI203" s="285">
        <v>9.9523809523809439E-5</v>
      </c>
      <c r="AJ203" s="287">
        <f t="shared" si="19"/>
        <v>0</v>
      </c>
      <c r="AK203" s="267">
        <f t="shared" si="20"/>
        <v>9.8262424242424231</v>
      </c>
      <c r="AL203" s="267">
        <f t="shared" si="21"/>
        <v>5.9895238095237744</v>
      </c>
    </row>
    <row r="204" spans="28:38">
      <c r="AB204" s="286">
        <v>39539</v>
      </c>
      <c r="AC204" s="93">
        <v>4</v>
      </c>
      <c r="AD204" s="282">
        <v>209.43380303030301</v>
      </c>
      <c r="AE204" s="285">
        <v>-0.22043636363636365</v>
      </c>
      <c r="AF204" s="285">
        <v>1.0533333333333332E-4</v>
      </c>
      <c r="AG204" s="282">
        <v>139.24785714285724</v>
      </c>
      <c r="AH204" s="285">
        <v>-7.587142857142902E-2</v>
      </c>
      <c r="AI204" s="285">
        <v>2.1333333333333745E-5</v>
      </c>
      <c r="AJ204" s="287">
        <f t="shared" si="19"/>
        <v>0</v>
      </c>
      <c r="AK204" s="267">
        <f t="shared" si="20"/>
        <v>7.2969696969697111</v>
      </c>
      <c r="AL204" s="267">
        <f t="shared" si="21"/>
        <v>4.6004761904761722</v>
      </c>
    </row>
    <row r="205" spans="28:38">
      <c r="AB205" s="286">
        <v>39569</v>
      </c>
      <c r="AC205" s="93">
        <v>5</v>
      </c>
      <c r="AD205" s="282">
        <v>213.03059469696981</v>
      </c>
      <c r="AE205" s="285">
        <v>-0.23074606060606098</v>
      </c>
      <c r="AF205" s="285">
        <v>1.2469696969696998E-4</v>
      </c>
      <c r="AG205" s="282">
        <v>183.92058035714319</v>
      </c>
      <c r="AH205" s="285">
        <v>-0.17095476190476319</v>
      </c>
      <c r="AI205" s="285">
        <v>8.4404761904763049E-5</v>
      </c>
      <c r="AJ205" s="287">
        <f t="shared" si="19"/>
        <v>0</v>
      </c>
      <c r="AK205" s="267">
        <f t="shared" si="20"/>
        <v>5.6170303030302762</v>
      </c>
      <c r="AL205" s="267">
        <f t="shared" si="21"/>
        <v>5.2788095238095138</v>
      </c>
    </row>
    <row r="206" spans="28:38">
      <c r="AB206" s="286">
        <v>39600</v>
      </c>
      <c r="AC206" s="93">
        <v>6</v>
      </c>
      <c r="AD206" s="282">
        <v>207.25206556634535</v>
      </c>
      <c r="AE206" s="285">
        <v>-0.22184718961082453</v>
      </c>
      <c r="AF206" s="285">
        <v>1.2607638331398551E-4</v>
      </c>
      <c r="AG206" s="282">
        <v>177.15468750000008</v>
      </c>
      <c r="AH206" s="285">
        <v>-0.15937380952380995</v>
      </c>
      <c r="AI206" s="285">
        <v>8.2595238095238517E-5</v>
      </c>
      <c r="AJ206" s="287">
        <f t="shared" si="19"/>
        <v>0</v>
      </c>
      <c r="AK206" s="267">
        <f t="shared" si="20"/>
        <v>4.5340252971244297</v>
      </c>
      <c r="AL206" s="267">
        <f t="shared" si="21"/>
        <v>4.3740476190475874</v>
      </c>
    </row>
    <row r="207" spans="28:38">
      <c r="AB207" s="286">
        <v>39630</v>
      </c>
      <c r="AC207" s="93">
        <v>7</v>
      </c>
      <c r="AD207" s="282">
        <v>211.76856037159286</v>
      </c>
      <c r="AE207" s="285">
        <v>-0.24714271800162099</v>
      </c>
      <c r="AF207" s="285">
        <v>1.5455184155062268E-4</v>
      </c>
      <c r="AG207" s="282">
        <v>204.38389726811681</v>
      </c>
      <c r="AH207" s="285">
        <v>-0.26570328824232803</v>
      </c>
      <c r="AI207" s="285">
        <v>1.8301726138223039E-4</v>
      </c>
      <c r="AJ207" s="287">
        <f t="shared" si="19"/>
        <v>0</v>
      </c>
      <c r="AK207" s="267">
        <f t="shared" si="20"/>
        <v>3.0770139830749486</v>
      </c>
      <c r="AL207" s="267">
        <f t="shared" si="21"/>
        <v>0.94791223072050457</v>
      </c>
    </row>
    <row r="208" spans="28:38">
      <c r="AB208" s="286">
        <v>39661</v>
      </c>
      <c r="AC208" s="93">
        <v>8</v>
      </c>
      <c r="AD208" s="282">
        <v>226.17577855488099</v>
      </c>
      <c r="AE208" s="285">
        <v>-0.28834107876657622</v>
      </c>
      <c r="AF208" s="285">
        <v>1.8155031294826167E-4</v>
      </c>
      <c r="AG208" s="282">
        <v>155.39187499999994</v>
      </c>
      <c r="AH208" s="285">
        <v>-0.1158333333333332</v>
      </c>
      <c r="AI208" s="285">
        <v>7.2999999999999945E-5</v>
      </c>
      <c r="AJ208" s="287">
        <f t="shared" si="19"/>
        <v>0</v>
      </c>
      <c r="AK208" s="267">
        <f t="shared" si="20"/>
        <v>3.4170640639009378</v>
      </c>
      <c r="AL208" s="267">
        <f t="shared" si="21"/>
        <v>1.3633333333333439</v>
      </c>
    </row>
    <row r="209" spans="28:38">
      <c r="AB209" s="286">
        <v>39692</v>
      </c>
      <c r="AC209" s="93">
        <v>9</v>
      </c>
      <c r="AD209" s="282">
        <v>236.6989090909091</v>
      </c>
      <c r="AE209" s="285">
        <v>-0.3287854545454546</v>
      </c>
      <c r="AF209" s="285">
        <v>2.123636363636364E-4</v>
      </c>
      <c r="AG209" s="282">
        <v>195.21093749999994</v>
      </c>
      <c r="AH209" s="285">
        <v>-0.27638809523809516</v>
      </c>
      <c r="AI209" s="285">
        <v>2.1011904761904766E-4</v>
      </c>
      <c r="AJ209" s="287">
        <f t="shared" si="19"/>
        <v>0</v>
      </c>
      <c r="AK209" s="267">
        <f t="shared" si="20"/>
        <v>3.1476363636363374</v>
      </c>
      <c r="AL209" s="267">
        <f t="shared" si="21"/>
        <v>-1.7778571428571581</v>
      </c>
    </row>
    <row r="210" spans="28:38">
      <c r="AB210" s="286">
        <v>39722</v>
      </c>
      <c r="AC210" s="93">
        <v>10</v>
      </c>
      <c r="AD210" s="282">
        <v>213.10164204545453</v>
      </c>
      <c r="AE210" s="285">
        <v>-0.29730939393939382</v>
      </c>
      <c r="AF210" s="285">
        <v>1.9001515151515142E-4</v>
      </c>
      <c r="AG210" s="282">
        <v>182.16062499999992</v>
      </c>
      <c r="AH210" s="285">
        <v>-0.25739523809523795</v>
      </c>
      <c r="AI210" s="285">
        <v>1.807142857142857E-4</v>
      </c>
      <c r="AJ210" s="287">
        <f t="shared" si="19"/>
        <v>0</v>
      </c>
      <c r="AK210" s="267">
        <f t="shared" si="20"/>
        <v>3.1288181818181613</v>
      </c>
      <c r="AL210" s="267">
        <f t="shared" si="21"/>
        <v>0.43952380952381986</v>
      </c>
    </row>
    <row r="211" spans="28:38">
      <c r="AB211" s="286">
        <v>39753</v>
      </c>
      <c r="AC211" s="93">
        <v>11</v>
      </c>
      <c r="AD211" s="282">
        <v>233.42416287878791</v>
      </c>
      <c r="AE211" s="285">
        <v>-0.35881757575757578</v>
      </c>
      <c r="AF211" s="285">
        <v>2.3336363636363637E-4</v>
      </c>
      <c r="AG211" s="282">
        <v>189.98352678571433</v>
      </c>
      <c r="AH211" s="285">
        <v>-0.29346428571428601</v>
      </c>
      <c r="AI211" s="285">
        <v>2.1911904761904796E-4</v>
      </c>
      <c r="AJ211" s="287">
        <f t="shared" si="19"/>
        <v>0</v>
      </c>
      <c r="AK211" s="267">
        <f t="shared" si="20"/>
        <v>3.2108484848484977</v>
      </c>
      <c r="AL211" s="267">
        <f t="shared" si="21"/>
        <v>-1.3302380952380588</v>
      </c>
    </row>
    <row r="212" spans="28:38">
      <c r="AB212" s="286">
        <v>39783</v>
      </c>
      <c r="AC212" s="93">
        <v>12</v>
      </c>
      <c r="AD212" s="282">
        <v>222.14032765151518</v>
      </c>
      <c r="AE212" s="285">
        <v>-0.33361181818181829</v>
      </c>
      <c r="AF212" s="285">
        <v>2.1216666666666674E-4</v>
      </c>
      <c r="AG212" s="282">
        <v>175.61218749999983</v>
      </c>
      <c r="AH212" s="285">
        <v>-0.26751666666666624</v>
      </c>
      <c r="AI212" s="285">
        <v>1.9649999999999973E-4</v>
      </c>
      <c r="AJ212" s="287">
        <f t="shared" si="19"/>
        <v>0</v>
      </c>
      <c r="AK212" s="267">
        <f t="shared" si="20"/>
        <v>3.6578484848485004</v>
      </c>
      <c r="AL212" s="267">
        <f t="shared" si="21"/>
        <v>-0.75833333333335418</v>
      </c>
    </row>
    <row r="213" spans="28:38">
      <c r="AB213" s="286">
        <v>39814</v>
      </c>
      <c r="AC213" s="93">
        <v>1</v>
      </c>
      <c r="AD213" s="282">
        <v>234.58753977272733</v>
      </c>
      <c r="AE213" s="285">
        <v>-0.34301666666666686</v>
      </c>
      <c r="AF213" s="285">
        <v>2.0756060606060621E-4</v>
      </c>
      <c r="AG213" s="282">
        <v>188.26308035714268</v>
      </c>
      <c r="AH213" s="285">
        <v>-0.2784357142857139</v>
      </c>
      <c r="AI213" s="285">
        <v>1.9392857142857121E-4</v>
      </c>
      <c r="AJ213" s="287">
        <f t="shared" si="19"/>
        <v>0</v>
      </c>
      <c r="AK213" s="267">
        <f t="shared" si="20"/>
        <v>5.2431818181818244</v>
      </c>
      <c r="AL213" s="267">
        <f t="shared" si="21"/>
        <v>0.69357142857137433</v>
      </c>
    </row>
    <row r="214" spans="28:38">
      <c r="AB214" s="286">
        <v>39845</v>
      </c>
      <c r="AC214" s="93">
        <v>2</v>
      </c>
      <c r="AD214" s="282">
        <v>232.04483901515158</v>
      </c>
      <c r="AE214" s="285">
        <v>-0.32032030303030323</v>
      </c>
      <c r="AF214" s="285">
        <v>1.7995454545454556E-4</v>
      </c>
      <c r="AG214" s="282">
        <v>189.03008928571444</v>
      </c>
      <c r="AH214" s="285">
        <v>-0.25200000000000061</v>
      </c>
      <c r="AI214" s="285">
        <v>1.5242857142857202E-4</v>
      </c>
      <c r="AJ214" s="287">
        <f t="shared" si="19"/>
        <v>0</v>
      </c>
      <c r="AK214" s="267">
        <f t="shared" si="20"/>
        <v>6.838393939393967</v>
      </c>
      <c r="AL214" s="267">
        <f t="shared" si="21"/>
        <v>3.8599999999999852</v>
      </c>
    </row>
    <row r="215" spans="28:38">
      <c r="AB215" s="286">
        <v>39873</v>
      </c>
      <c r="AC215" s="93">
        <v>3</v>
      </c>
      <c r="AD215" s="282">
        <v>207.07414583333335</v>
      </c>
      <c r="AE215" s="285">
        <v>-0.24021060606060612</v>
      </c>
      <c r="AF215" s="285">
        <v>1.1810606060606067E-4</v>
      </c>
      <c r="AG215" s="282">
        <v>182.88642857142864</v>
      </c>
      <c r="AH215" s="285">
        <v>-0.22981428571428603</v>
      </c>
      <c r="AI215" s="285">
        <v>1.323809523809527E-4</v>
      </c>
      <c r="AJ215" s="287">
        <f t="shared" si="19"/>
        <v>0</v>
      </c>
      <c r="AK215" s="267">
        <f t="shared" si="20"/>
        <v>7.4862121212121338</v>
      </c>
      <c r="AL215" s="267">
        <f t="shared" si="21"/>
        <v>4.4480952380952203</v>
      </c>
    </row>
    <row r="216" spans="28:38">
      <c r="AB216" s="286">
        <v>39904</v>
      </c>
      <c r="AC216" s="93">
        <v>4</v>
      </c>
      <c r="AD216" s="282">
        <v>188.09360606060619</v>
      </c>
      <c r="AE216" s="285">
        <v>-0.16889575757575787</v>
      </c>
      <c r="AF216" s="285">
        <v>6.8363636363636573E-5</v>
      </c>
      <c r="AG216" s="282">
        <v>186.26691964285718</v>
      </c>
      <c r="AH216" s="285">
        <v>-0.20857380952380974</v>
      </c>
      <c r="AI216" s="285">
        <v>1.0797619047619071E-4</v>
      </c>
      <c r="AJ216" s="287">
        <f t="shared" si="19"/>
        <v>0</v>
      </c>
      <c r="AK216" s="267">
        <f t="shared" si="20"/>
        <v>7.3186666666666724</v>
      </c>
      <c r="AL216" s="267">
        <f t="shared" si="21"/>
        <v>5.7407142857142901</v>
      </c>
    </row>
    <row r="217" spans="28:38">
      <c r="AB217" s="286">
        <v>39934</v>
      </c>
      <c r="AC217" s="93">
        <v>5</v>
      </c>
      <c r="AD217" s="282">
        <v>176.8705511363637</v>
      </c>
      <c r="AE217" s="285">
        <v>-0.13282575757575782</v>
      </c>
      <c r="AF217" s="285">
        <v>4.5287878787878969E-5</v>
      </c>
      <c r="AG217" s="282">
        <v>150.59142857142865</v>
      </c>
      <c r="AH217" s="285">
        <v>-9.4638095238095424E-2</v>
      </c>
      <c r="AI217" s="285">
        <v>2.5142857142857309E-5</v>
      </c>
      <c r="AJ217" s="287">
        <f t="shared" si="19"/>
        <v>0</v>
      </c>
      <c r="AK217" s="267">
        <f t="shared" si="20"/>
        <v>6.9422727272727229</v>
      </c>
      <c r="AL217" s="267">
        <f t="shared" si="21"/>
        <v>5.9438095238095059</v>
      </c>
    </row>
    <row r="218" spans="28:38">
      <c r="AB218" s="286">
        <v>39965</v>
      </c>
      <c r="AC218" s="93">
        <v>6</v>
      </c>
      <c r="AD218" s="282">
        <v>199.19699828955916</v>
      </c>
      <c r="AE218" s="285">
        <v>-0.23278690420477646</v>
      </c>
      <c r="AF218" s="285">
        <v>1.293535382972268E-4</v>
      </c>
      <c r="AG218" s="282">
        <v>208.48255200076892</v>
      </c>
      <c r="AH218" s="285">
        <v>-0.30555322306357541</v>
      </c>
      <c r="AI218" s="285">
        <v>1.9628215083701669E-4</v>
      </c>
      <c r="AJ218" s="287">
        <f t="shared" si="19"/>
        <v>0</v>
      </c>
      <c r="AK218" s="267">
        <f t="shared" si="20"/>
        <v>5.1691950588658813</v>
      </c>
      <c r="AL218" s="267">
        <f t="shared" si="21"/>
        <v>3.075821189175258</v>
      </c>
    </row>
    <row r="219" spans="28:38">
      <c r="AB219" s="286">
        <v>39995</v>
      </c>
      <c r="AC219" s="93">
        <v>7</v>
      </c>
      <c r="AD219" s="282">
        <v>152.06518560606065</v>
      </c>
      <c r="AE219" s="285">
        <v>-9.1440606060606222E-2</v>
      </c>
      <c r="AF219" s="285">
        <v>3.6333333333333455E-5</v>
      </c>
      <c r="AG219" s="282">
        <v>208.23684796368991</v>
      </c>
      <c r="AH219" s="285">
        <v>-0.30147369992184769</v>
      </c>
      <c r="AI219" s="285">
        <v>2.0439980472774269E-4</v>
      </c>
      <c r="AJ219" s="287">
        <f t="shared" si="19"/>
        <v>0</v>
      </c>
      <c r="AK219" s="267">
        <f t="shared" si="20"/>
        <v>4.0573939393939327</v>
      </c>
      <c r="AL219" s="267">
        <f t="shared" si="21"/>
        <v>1.5313973303008197</v>
      </c>
    </row>
    <row r="220" spans="28:38">
      <c r="AB220" s="286">
        <v>40026</v>
      </c>
      <c r="AC220" s="93">
        <v>8</v>
      </c>
      <c r="AD220" s="282">
        <v>198.24454545454546</v>
      </c>
      <c r="AE220" s="285">
        <v>-0.22776848484848483</v>
      </c>
      <c r="AF220" s="285">
        <v>1.2969696969696967E-4</v>
      </c>
      <c r="AG220" s="282">
        <v>185.68430430612534</v>
      </c>
      <c r="AH220" s="285">
        <v>-0.24748851918621068</v>
      </c>
      <c r="AI220" s="285">
        <v>1.7087267977967211E-4</v>
      </c>
      <c r="AJ220" s="287">
        <f t="shared" si="19"/>
        <v>0</v>
      </c>
      <c r="AK220" s="267">
        <f t="shared" si="20"/>
        <v>4.6192727272727154</v>
      </c>
      <c r="AL220" s="267">
        <f t="shared" si="21"/>
        <v>0.82667674946696934</v>
      </c>
    </row>
    <row r="221" spans="28:38">
      <c r="AB221" s="286">
        <v>40057</v>
      </c>
      <c r="AC221" s="93">
        <v>9</v>
      </c>
      <c r="AD221" s="282">
        <v>184.69149810606064</v>
      </c>
      <c r="AE221" s="285">
        <v>-0.20905606060606058</v>
      </c>
      <c r="AF221" s="285">
        <v>1.2328787878787876E-4</v>
      </c>
      <c r="AG221" s="282">
        <v>127.40709821428553</v>
      </c>
      <c r="AH221" s="285">
        <v>-8.2940476190475537E-2</v>
      </c>
      <c r="AI221" s="285">
        <v>4.7499999999999501E-5</v>
      </c>
      <c r="AJ221" s="287">
        <f t="shared" si="19"/>
        <v>0</v>
      </c>
      <c r="AK221" s="267">
        <f t="shared" si="20"/>
        <v>3.6453030303030118</v>
      </c>
      <c r="AL221" s="267">
        <f t="shared" si="21"/>
        <v>1.6440476190476261</v>
      </c>
    </row>
    <row r="222" spans="28:38">
      <c r="AB222" s="286">
        <v>40087</v>
      </c>
      <c r="AC222" s="93">
        <v>10</v>
      </c>
      <c r="AD222" s="282">
        <v>218.72012310606061</v>
      </c>
      <c r="AE222" s="285">
        <v>-0.32391848484848479</v>
      </c>
      <c r="AF222" s="285">
        <v>2.060454545454545E-4</v>
      </c>
      <c r="AG222" s="282">
        <v>209.27401785714258</v>
      </c>
      <c r="AH222" s="285">
        <v>-0.34843809523809444</v>
      </c>
      <c r="AI222" s="285">
        <v>2.4957142857142805E-4</v>
      </c>
      <c r="AJ222" s="287">
        <f t="shared" si="19"/>
        <v>0</v>
      </c>
      <c r="AK222" s="267">
        <f t="shared" si="20"/>
        <v>3.5454848484848469</v>
      </c>
      <c r="AL222" s="267">
        <f t="shared" si="21"/>
        <v>-9.619047619045773E-2</v>
      </c>
    </row>
    <row r="223" spans="28:38">
      <c r="AB223" s="286">
        <v>40118</v>
      </c>
      <c r="AC223" s="93">
        <v>11</v>
      </c>
      <c r="AD223" s="282">
        <v>202.95603030303039</v>
      </c>
      <c r="AE223" s="285">
        <v>-0.27032848484848498</v>
      </c>
      <c r="AF223" s="285">
        <v>1.6484848484848492E-4</v>
      </c>
      <c r="AG223" s="282">
        <v>192.68709821428561</v>
      </c>
      <c r="AH223" s="285">
        <v>-0.29476904761904732</v>
      </c>
      <c r="AI223" s="285">
        <v>2.0388095238095224E-4</v>
      </c>
      <c r="AJ223" s="287">
        <f t="shared" si="19"/>
        <v>0</v>
      </c>
      <c r="AK223" s="267">
        <f t="shared" si="20"/>
        <v>3.9540606060605512</v>
      </c>
      <c r="AL223" s="267">
        <f t="shared" si="21"/>
        <v>0.93357142857144026</v>
      </c>
    </row>
    <row r="224" spans="28:38">
      <c r="AB224" s="286">
        <v>40148</v>
      </c>
      <c r="AC224" s="93">
        <v>12</v>
      </c>
      <c r="AD224" s="282">
        <v>221.7427310606061</v>
      </c>
      <c r="AE224" s="285">
        <v>-0.32221757575757581</v>
      </c>
      <c r="AF224" s="285">
        <v>2.0118181818181823E-4</v>
      </c>
      <c r="AG224" s="282">
        <v>180.49424107142866</v>
      </c>
      <c r="AH224" s="285">
        <v>-0.25485952380952431</v>
      </c>
      <c r="AI224" s="285">
        <v>1.7226190476190528E-4</v>
      </c>
      <c r="AJ224" s="287">
        <f t="shared" si="19"/>
        <v>0</v>
      </c>
      <c r="AK224" s="267">
        <f t="shared" si="20"/>
        <v>4.0563030303030132</v>
      </c>
      <c r="AL224" s="267">
        <f t="shared" si="21"/>
        <v>1.3692857142856667</v>
      </c>
    </row>
    <row r="225" spans="28:38">
      <c r="AB225" s="286">
        <v>40179</v>
      </c>
      <c r="AC225" s="93">
        <v>1</v>
      </c>
      <c r="AD225" s="282">
        <v>173.35102462121196</v>
      </c>
      <c r="AE225" s="285">
        <v>-0.17889303030302986</v>
      </c>
      <c r="AF225" s="285">
        <v>1.0307575757575721E-4</v>
      </c>
      <c r="AG225" s="282">
        <v>171.36133928571422</v>
      </c>
      <c r="AH225" s="285">
        <v>-0.21594761904761889</v>
      </c>
      <c r="AI225" s="285">
        <v>1.4661904761904761E-4</v>
      </c>
      <c r="AJ225" s="287">
        <f t="shared" si="19"/>
        <v>0</v>
      </c>
      <c r="AK225" s="267">
        <f t="shared" si="20"/>
        <v>3.4586969696969732</v>
      </c>
      <c r="AL225" s="267">
        <f t="shared" si="21"/>
        <v>1.0680952380952249</v>
      </c>
    </row>
    <row r="226" spans="28:38">
      <c r="AB226" s="286">
        <v>40210</v>
      </c>
      <c r="AC226" s="93">
        <v>2</v>
      </c>
      <c r="AD226" s="282">
        <v>205.21583712121213</v>
      </c>
      <c r="AE226" s="285">
        <v>-0.23102121212121221</v>
      </c>
      <c r="AF226" s="285">
        <v>1.2275757575757582E-4</v>
      </c>
      <c r="AG226" s="282">
        <v>155.1836160714285</v>
      </c>
      <c r="AH226" s="285">
        <v>-0.14255476190476182</v>
      </c>
      <c r="AI226" s="285">
        <v>8.1642857142857154E-5</v>
      </c>
      <c r="AJ226" s="287">
        <f t="shared" si="19"/>
        <v>0</v>
      </c>
      <c r="AK226" s="267">
        <f t="shared" si="20"/>
        <v>5.9160606060605971</v>
      </c>
      <c r="AL226" s="267">
        <f t="shared" si="21"/>
        <v>2.8254761904761949</v>
      </c>
    </row>
    <row r="227" spans="28:38">
      <c r="AB227" s="286">
        <v>40238</v>
      </c>
      <c r="AC227" s="93">
        <v>3</v>
      </c>
      <c r="AD227" s="282">
        <v>197.12449810606051</v>
      </c>
      <c r="AE227" s="285">
        <v>-0.16592878787878756</v>
      </c>
      <c r="AF227" s="285">
        <v>6.0015151515151283E-5</v>
      </c>
      <c r="AG227" s="282">
        <v>139.74808035714278</v>
      </c>
      <c r="AH227" s="285">
        <v>-4.5449999999999789E-2</v>
      </c>
      <c r="AI227" s="285">
        <v>-1.6547619047619199E-5</v>
      </c>
      <c r="AJ227" s="287">
        <f t="shared" si="19"/>
        <v>0</v>
      </c>
      <c r="AK227" s="267">
        <f t="shared" si="20"/>
        <v>8.1907575757575728</v>
      </c>
      <c r="AL227" s="267">
        <f t="shared" si="21"/>
        <v>6.8616666666666504</v>
      </c>
    </row>
    <row r="228" spans="28:38">
      <c r="AB228" s="286">
        <v>40269</v>
      </c>
      <c r="AC228" s="93">
        <v>4</v>
      </c>
      <c r="AD228" s="282">
        <v>193.10667234848489</v>
      </c>
      <c r="AE228" s="285">
        <v>-0.14203545454545466</v>
      </c>
      <c r="AF228" s="285">
        <v>5.1106060606060658E-5</v>
      </c>
      <c r="AG228" s="282">
        <v>125.16848214285702</v>
      </c>
      <c r="AH228" s="285">
        <v>2.6719047619047993E-2</v>
      </c>
      <c r="AI228" s="285">
        <v>-6.976190476190507E-5</v>
      </c>
      <c r="AJ228" s="287">
        <f t="shared" si="19"/>
        <v>0</v>
      </c>
      <c r="AK228" s="267">
        <f t="shared" si="20"/>
        <v>7.0486969696969481</v>
      </c>
      <c r="AL228" s="267">
        <f t="shared" si="21"/>
        <v>7.0947619047619241</v>
      </c>
    </row>
    <row r="229" spans="28:38">
      <c r="AB229" s="286">
        <v>40299</v>
      </c>
      <c r="AC229" s="93">
        <v>5</v>
      </c>
      <c r="AD229" s="282">
        <v>216.2773068181819</v>
      </c>
      <c r="AE229" s="285">
        <v>-0.21136303030303047</v>
      </c>
      <c r="AF229" s="285">
        <v>9.8878787878787993E-5</v>
      </c>
      <c r="AG229" s="282">
        <v>177.84258928571421</v>
      </c>
      <c r="AH229" s="285">
        <v>-0.15431428571428552</v>
      </c>
      <c r="AI229" s="285">
        <v>7.6619047619047505E-5</v>
      </c>
      <c r="AJ229" s="287">
        <f t="shared" si="19"/>
        <v>0</v>
      </c>
      <c r="AK229" s="267">
        <f t="shared" si="20"/>
        <v>7.293272727272722</v>
      </c>
      <c r="AL229" s="267">
        <f t="shared" si="21"/>
        <v>4.7047619047618809</v>
      </c>
    </row>
    <row r="230" spans="28:38">
      <c r="AB230" s="286">
        <v>40330</v>
      </c>
      <c r="AC230" s="93">
        <v>6</v>
      </c>
      <c r="AD230" s="282">
        <v>268.95020342511077</v>
      </c>
      <c r="AE230" s="285">
        <v>-0.38441669557013664</v>
      </c>
      <c r="AF230" s="285">
        <v>2.3019178394447222E-4</v>
      </c>
      <c r="AG230" s="282">
        <v>147.04067546073978</v>
      </c>
      <c r="AH230" s="285">
        <v>-5.2014860370087741E-2</v>
      </c>
      <c r="AI230" s="285">
        <v>-5.6802685168298358E-6</v>
      </c>
      <c r="AJ230" s="287">
        <f t="shared" si="19"/>
        <v>0</v>
      </c>
      <c r="AK230" s="267">
        <f t="shared" si="20"/>
        <v>6.2148198047875951</v>
      </c>
      <c r="AL230" s="267">
        <f t="shared" si="21"/>
        <v>5.9967236293649648</v>
      </c>
    </row>
    <row r="231" spans="28:38">
      <c r="AB231" s="286">
        <v>40360</v>
      </c>
      <c r="AC231" s="93">
        <v>7</v>
      </c>
      <c r="AD231" s="282">
        <v>199.13053076052637</v>
      </c>
      <c r="AE231" s="285">
        <v>-0.1921596634359263</v>
      </c>
      <c r="AF231" s="285">
        <v>1.0805536247852875E-4</v>
      </c>
      <c r="AG231" s="282">
        <v>160.81910714285715</v>
      </c>
      <c r="AH231" s="285">
        <v>-0.10996190476190487</v>
      </c>
      <c r="AI231" s="285">
        <v>5.4761904761904902E-5</v>
      </c>
      <c r="AJ231" s="287">
        <f t="shared" si="19"/>
        <v>0</v>
      </c>
      <c r="AK231" s="267">
        <f t="shared" si="20"/>
        <v>4.0882155965985589</v>
      </c>
      <c r="AL231" s="267">
        <f t="shared" si="21"/>
        <v>3.3295238095238062</v>
      </c>
    </row>
    <row r="232" spans="28:38">
      <c r="AB232" s="286">
        <v>40391</v>
      </c>
      <c r="AC232" s="93">
        <v>8</v>
      </c>
      <c r="AD232" s="282">
        <v>226.52826136363632</v>
      </c>
      <c r="AE232" s="285">
        <v>-0.26070969696969687</v>
      </c>
      <c r="AF232" s="285">
        <v>1.496666666666666E-4</v>
      </c>
      <c r="AG232" s="282">
        <v>189.01080357142868</v>
      </c>
      <c r="AH232" s="285">
        <v>-0.1883619047619052</v>
      </c>
      <c r="AI232" s="285">
        <v>1.0690476190476232E-4</v>
      </c>
      <c r="AJ232" s="287">
        <f t="shared" si="19"/>
        <v>0</v>
      </c>
      <c r="AK232" s="267">
        <f t="shared" si="20"/>
        <v>5.1176363636363362</v>
      </c>
      <c r="AL232" s="267">
        <f t="shared" si="21"/>
        <v>3.8695238095237698</v>
      </c>
    </row>
    <row r="233" spans="28:38">
      <c r="AB233" s="286">
        <v>40422</v>
      </c>
      <c r="AC233" s="93">
        <v>9</v>
      </c>
      <c r="AD233" s="282">
        <v>237.99604545454545</v>
      </c>
      <c r="AE233" s="285">
        <v>-0.34582424242424248</v>
      </c>
      <c r="AF233" s="285">
        <v>2.3212121212121215E-4</v>
      </c>
      <c r="AG233" s="282">
        <v>158.09700892857137</v>
      </c>
      <c r="AH233" s="285">
        <v>-0.14244047619047603</v>
      </c>
      <c r="AI233" s="285">
        <v>9.9071428571428523E-5</v>
      </c>
      <c r="AJ233" s="287">
        <f t="shared" si="19"/>
        <v>0</v>
      </c>
      <c r="AK233" s="267">
        <f t="shared" si="20"/>
        <v>2.0854545454545814</v>
      </c>
      <c r="AL233" s="267">
        <f t="shared" si="21"/>
        <v>0.37404761904761585</v>
      </c>
    </row>
    <row r="234" spans="28:38">
      <c r="AB234" s="286">
        <v>40452</v>
      </c>
      <c r="AC234" s="93">
        <v>10</v>
      </c>
      <c r="AD234" s="282">
        <v>224.23011931818195</v>
      </c>
      <c r="AE234" s="285">
        <v>-0.30618575757575789</v>
      </c>
      <c r="AF234" s="285">
        <v>2.0510606060606082E-4</v>
      </c>
      <c r="AG234" s="282">
        <v>146.71870535714277</v>
      </c>
      <c r="AH234" s="285">
        <v>-0.10191190476190458</v>
      </c>
      <c r="AI234" s="285">
        <v>6.2833333333333225E-5</v>
      </c>
      <c r="AJ234" s="287">
        <f t="shared" si="19"/>
        <v>0</v>
      </c>
      <c r="AK234" s="267">
        <f t="shared" si="20"/>
        <v>1.9037272727272807</v>
      </c>
      <c r="AL234" s="267">
        <f t="shared" si="21"/>
        <v>1.3945238095238039</v>
      </c>
    </row>
    <row r="235" spans="28:38">
      <c r="AB235" s="286">
        <v>40483</v>
      </c>
      <c r="AC235" s="93">
        <v>11</v>
      </c>
      <c r="AD235" s="282">
        <v>265.15809469696967</v>
      </c>
      <c r="AE235" s="285">
        <v>-0.41681393939393929</v>
      </c>
      <c r="AF235" s="285">
        <v>2.819090909090908E-4</v>
      </c>
      <c r="AG235" s="282">
        <v>202.38665178571426</v>
      </c>
      <c r="AH235" s="285">
        <v>-0.27348809523809542</v>
      </c>
      <c r="AI235" s="285">
        <v>1.9621428571428597E-4</v>
      </c>
      <c r="AJ235" s="287">
        <f t="shared" si="19"/>
        <v>0</v>
      </c>
      <c r="AK235" s="267">
        <f t="shared" si="20"/>
        <v>2.2141212121212561</v>
      </c>
      <c r="AL235" s="267">
        <f t="shared" si="21"/>
        <v>-0.12119047619052026</v>
      </c>
    </row>
    <row r="236" spans="28:38">
      <c r="AB236" s="286">
        <v>40513</v>
      </c>
      <c r="AC236" s="93">
        <v>12</v>
      </c>
      <c r="AD236" s="282">
        <v>261.4888939393939</v>
      </c>
      <c r="AE236" s="285">
        <v>-0.35864969696969684</v>
      </c>
      <c r="AF236" s="285">
        <v>2.2509090909090897E-4</v>
      </c>
      <c r="AG236" s="282">
        <v>187.05642857142874</v>
      </c>
      <c r="AH236" s="285">
        <v>-0.18363809523809593</v>
      </c>
      <c r="AI236" s="285">
        <v>1.1047619047619114E-4</v>
      </c>
      <c r="AJ236" s="287">
        <f t="shared" si="19"/>
        <v>0</v>
      </c>
      <c r="AK236" s="267">
        <f t="shared" si="20"/>
        <v>4.3522424242424336</v>
      </c>
      <c r="AL236" s="267">
        <f t="shared" si="21"/>
        <v>2.8971428571428532</v>
      </c>
    </row>
    <row r="237" spans="28:38">
      <c r="AB237" s="286">
        <v>40544</v>
      </c>
      <c r="AC237" s="93">
        <v>1</v>
      </c>
      <c r="AD237" s="282">
        <v>243.47232196969702</v>
      </c>
      <c r="AE237" s="285">
        <v>-0.26506969696969707</v>
      </c>
      <c r="AF237" s="285">
        <v>1.450606060606061E-4</v>
      </c>
      <c r="AG237" s="282">
        <v>178.34049107142849</v>
      </c>
      <c r="AH237" s="285">
        <v>-0.13406904761904734</v>
      </c>
      <c r="AI237" s="285">
        <v>6.9499999999999792E-5</v>
      </c>
      <c r="AJ237" s="287">
        <f t="shared" si="19"/>
        <v>0</v>
      </c>
      <c r="AK237" s="267">
        <f t="shared" si="20"/>
        <v>6.1984848484848385</v>
      </c>
      <c r="AL237" s="267">
        <f t="shared" si="21"/>
        <v>3.6769047619047228</v>
      </c>
    </row>
    <row r="238" spans="28:38">
      <c r="AB238" s="286">
        <v>40575</v>
      </c>
      <c r="AC238" s="93">
        <v>2</v>
      </c>
      <c r="AD238" s="282">
        <v>244.2832140151516</v>
      </c>
      <c r="AE238" s="285">
        <v>-0.23257303030303059</v>
      </c>
      <c r="AF238" s="285">
        <v>1.0568181818181838E-4</v>
      </c>
      <c r="AG238" s="282">
        <v>216.88223214285705</v>
      </c>
      <c r="AH238" s="285">
        <v>-0.21437142857142838</v>
      </c>
      <c r="AI238" s="285">
        <v>1.116666666666666E-4</v>
      </c>
      <c r="AJ238" s="287">
        <f t="shared" si="19"/>
        <v>0</v>
      </c>
      <c r="AK238" s="267">
        <f t="shared" si="20"/>
        <v>8.4618484848484741</v>
      </c>
      <c r="AL238" s="267">
        <f t="shared" si="21"/>
        <v>5.8038095238094911</v>
      </c>
    </row>
    <row r="239" spans="28:38">
      <c r="AB239" s="286">
        <v>40603</v>
      </c>
      <c r="AC239" s="93">
        <v>3</v>
      </c>
      <c r="AD239" s="282">
        <v>256.9929943181819</v>
      </c>
      <c r="AE239" s="285">
        <v>-0.23632090909090922</v>
      </c>
      <c r="AF239" s="285">
        <v>9.4590909090909174E-5</v>
      </c>
      <c r="AG239" s="282">
        <v>200.84209821428578</v>
      </c>
      <c r="AH239" s="285">
        <v>-0.14318809523809559</v>
      </c>
      <c r="AI239" s="285">
        <v>4.9023809523809865E-5</v>
      </c>
      <c r="AJ239" s="287">
        <f t="shared" si="19"/>
        <v>0</v>
      </c>
      <c r="AK239" s="267">
        <f t="shared" si="20"/>
        <v>10.389363636363612</v>
      </c>
      <c r="AL239" s="267">
        <f t="shared" si="21"/>
        <v>7.4554761904761619</v>
      </c>
    </row>
    <row r="240" spans="28:38">
      <c r="AB240" s="286">
        <v>40634</v>
      </c>
      <c r="AC240" s="93">
        <v>4</v>
      </c>
      <c r="AD240" s="282">
        <v>235.83116098484857</v>
      </c>
      <c r="AE240" s="285">
        <v>-0.17472090909090948</v>
      </c>
      <c r="AF240" s="285">
        <v>5.5924242424242737E-5</v>
      </c>
      <c r="AG240" s="282">
        <v>170.69674107142851</v>
      </c>
      <c r="AH240" s="285">
        <v>-2.6278571428571217E-2</v>
      </c>
      <c r="AI240" s="285">
        <v>-4.7928571428571581E-5</v>
      </c>
      <c r="AJ240" s="287">
        <f t="shared" si="19"/>
        <v>0</v>
      </c>
      <c r="AK240" s="267">
        <f t="shared" si="20"/>
        <v>9.6426969696969422</v>
      </c>
      <c r="AL240" s="267">
        <f t="shared" si="21"/>
        <v>9.3378571428571604</v>
      </c>
    </row>
    <row r="241" spans="28:38">
      <c r="AB241" s="286">
        <v>40664</v>
      </c>
      <c r="AC241" s="93">
        <v>5</v>
      </c>
      <c r="AD241" s="282">
        <v>250.06843560606066</v>
      </c>
      <c r="AE241" s="285">
        <v>-0.25534242424242443</v>
      </c>
      <c r="AF241" s="285">
        <v>1.2815151515151529E-4</v>
      </c>
      <c r="AG241" s="282">
        <v>205.83928571428612</v>
      </c>
      <c r="AH241" s="285">
        <v>-0.18192380952381093</v>
      </c>
      <c r="AI241" s="285">
        <v>9.2000000000001233E-5</v>
      </c>
      <c r="AJ241" s="287">
        <f t="shared" si="19"/>
        <v>0</v>
      </c>
      <c r="AK241" s="267">
        <f t="shared" si="20"/>
        <v>7.5930303030302753</v>
      </c>
      <c r="AL241" s="267">
        <f t="shared" si="21"/>
        <v>5.3123809523809769</v>
      </c>
    </row>
    <row r="242" spans="28:38">
      <c r="AB242" s="286">
        <v>40695</v>
      </c>
      <c r="AC242" s="93">
        <v>6</v>
      </c>
      <c r="AD242" s="282">
        <v>240.95334280303041</v>
      </c>
      <c r="AE242" s="285">
        <v>-0.23207121212121237</v>
      </c>
      <c r="AF242" s="285">
        <v>1.1507575757575772E-4</v>
      </c>
      <c r="AG242" s="282">
        <v>214.55674107142869</v>
      </c>
      <c r="AH242" s="285">
        <v>-0.19865952380952423</v>
      </c>
      <c r="AI242" s="285">
        <v>1.0026190476190516E-4</v>
      </c>
      <c r="AJ242" s="287">
        <f t="shared" si="19"/>
        <v>0</v>
      </c>
      <c r="AK242" s="267">
        <f t="shared" si="20"/>
        <v>7.0965151515151206</v>
      </c>
      <c r="AL242" s="267">
        <f t="shared" si="21"/>
        <v>5.8292857142857031</v>
      </c>
    </row>
    <row r="243" spans="28:38">
      <c r="AB243" s="286">
        <v>40725</v>
      </c>
      <c r="AC243" s="93">
        <v>7</v>
      </c>
      <c r="AD243" s="282">
        <v>221.78836363636367</v>
      </c>
      <c r="AE243" s="285">
        <v>-0.19095878787878795</v>
      </c>
      <c r="AF243" s="285">
        <v>1.0448484848484854E-4</v>
      </c>
      <c r="AG243" s="282">
        <v>219.12446428571397</v>
      </c>
      <c r="AH243" s="285">
        <v>-0.24484761904761815</v>
      </c>
      <c r="AI243" s="285">
        <v>1.7095238095238036E-4</v>
      </c>
      <c r="AJ243" s="287">
        <f t="shared" si="19"/>
        <v>0</v>
      </c>
      <c r="AK243" s="267">
        <f t="shared" si="20"/>
        <v>4.4679999999999609</v>
      </c>
      <c r="AL243" s="267">
        <f t="shared" si="21"/>
        <v>0.55142857142857338</v>
      </c>
    </row>
    <row r="244" spans="28:38">
      <c r="AB244" s="286">
        <v>40756</v>
      </c>
      <c r="AC244" s="93">
        <v>8</v>
      </c>
      <c r="AD244" s="282">
        <v>254.31472159090896</v>
      </c>
      <c r="AE244" s="285">
        <v>-0.30062393939393889</v>
      </c>
      <c r="AF244" s="285">
        <v>1.8501515151515111E-4</v>
      </c>
      <c r="AG244" s="282">
        <v>179.91218750000021</v>
      </c>
      <c r="AH244" s="285">
        <v>-0.10308809523809602</v>
      </c>
      <c r="AI244" s="285">
        <v>4.1452380952381642E-5</v>
      </c>
      <c r="AJ244" s="287">
        <f t="shared" si="19"/>
        <v>0</v>
      </c>
      <c r="AK244" s="267">
        <f t="shared" si="20"/>
        <v>4.1602727272727407</v>
      </c>
      <c r="AL244" s="267">
        <f t="shared" si="21"/>
        <v>4.5054761904761733</v>
      </c>
    </row>
    <row r="245" spans="28:38">
      <c r="AB245" s="286">
        <v>40787</v>
      </c>
      <c r="AC245" s="93">
        <v>9</v>
      </c>
      <c r="AD245" s="282">
        <v>257.73091098484855</v>
      </c>
      <c r="AE245" s="285">
        <v>-0.31309787878787898</v>
      </c>
      <c r="AF245" s="285">
        <v>1.9222727272727287E-4</v>
      </c>
      <c r="AG245" s="282">
        <v>214.32165178571421</v>
      </c>
      <c r="AH245" s="285">
        <v>-0.24900714285714279</v>
      </c>
      <c r="AI245" s="285">
        <v>1.7869047619047622E-4</v>
      </c>
      <c r="AJ245" s="287">
        <f t="shared" si="19"/>
        <v>0</v>
      </c>
      <c r="AK245" s="267">
        <f t="shared" si="20"/>
        <v>4.3979696969697102</v>
      </c>
      <c r="AL245" s="267">
        <f t="shared" si="21"/>
        <v>-0.11595238095245008</v>
      </c>
    </row>
    <row r="246" spans="28:38">
      <c r="AB246" s="286">
        <v>40817</v>
      </c>
      <c r="AC246" s="93">
        <v>10</v>
      </c>
      <c r="AD246" s="282">
        <v>266.41428787878795</v>
      </c>
      <c r="AE246" s="285">
        <v>-0.33891393939393971</v>
      </c>
      <c r="AF246" s="285">
        <v>2.2072727272727302E-4</v>
      </c>
      <c r="AG246" s="282">
        <v>207.39191964285709</v>
      </c>
      <c r="AH246" s="285">
        <v>-0.20990714285714288</v>
      </c>
      <c r="AI246" s="285">
        <v>1.3464285714285726E-4</v>
      </c>
      <c r="AJ246" s="287">
        <f t="shared" si="19"/>
        <v>0</v>
      </c>
      <c r="AK246" s="267">
        <f t="shared" si="20"/>
        <v>2.9895757575757784</v>
      </c>
      <c r="AL246" s="267">
        <f t="shared" si="21"/>
        <v>2.1407142857142958</v>
      </c>
    </row>
    <row r="247" spans="28:38">
      <c r="AB247" s="286">
        <v>40848</v>
      </c>
      <c r="AC247" s="93">
        <v>11</v>
      </c>
      <c r="AD247" s="282">
        <v>270.16378598484846</v>
      </c>
      <c r="AE247" s="285">
        <v>-0.33188515151515141</v>
      </c>
      <c r="AF247" s="285">
        <v>2.1649999999999992E-4</v>
      </c>
      <c r="AG247" s="282">
        <v>270.12674107142828</v>
      </c>
      <c r="AH247" s="285">
        <v>-0.39409761904761836</v>
      </c>
      <c r="AI247" s="285">
        <v>2.8521428571428534E-4</v>
      </c>
      <c r="AJ247" s="287">
        <f t="shared" si="19"/>
        <v>0</v>
      </c>
      <c r="AK247" s="267">
        <f t="shared" si="20"/>
        <v>2.8785151515151597</v>
      </c>
      <c r="AL247" s="267">
        <f t="shared" si="21"/>
        <v>-0.52023809523802811</v>
      </c>
    </row>
    <row r="248" spans="28:38">
      <c r="AB248" s="286">
        <v>40878</v>
      </c>
      <c r="AC248" s="93">
        <v>12</v>
      </c>
      <c r="AD248" s="282">
        <v>362.68364204545463</v>
      </c>
      <c r="AE248" s="285">
        <v>-0.56987909090909106</v>
      </c>
      <c r="AF248" s="285">
        <v>3.6504545454545459E-4</v>
      </c>
      <c r="AG248" s="282">
        <v>231.21875000000011</v>
      </c>
      <c r="AH248" s="285">
        <v>-0.24977619047619101</v>
      </c>
      <c r="AI248" s="285">
        <v>1.612380952380958E-4</v>
      </c>
      <c r="AJ248" s="287">
        <f t="shared" si="19"/>
        <v>0</v>
      </c>
      <c r="AK248" s="267">
        <f t="shared" si="20"/>
        <v>5.8815454545455168</v>
      </c>
      <c r="AL248" s="267">
        <f t="shared" si="21"/>
        <v>2.4042857142857201</v>
      </c>
    </row>
    <row r="249" spans="28:38">
      <c r="AB249" s="286">
        <v>40909</v>
      </c>
      <c r="AC249" s="93">
        <v>1</v>
      </c>
      <c r="AD249" s="282">
        <v>387.81209848484843</v>
      </c>
      <c r="AE249" s="285">
        <v>-0.60679515151515118</v>
      </c>
      <c r="AF249" s="285">
        <v>3.8199999999999969E-4</v>
      </c>
      <c r="AG249" s="282">
        <v>232.4636160714287</v>
      </c>
      <c r="AH249" s="285">
        <v>-0.19575952380952438</v>
      </c>
      <c r="AI249" s="285">
        <v>9.7261904761905332E-5</v>
      </c>
      <c r="AJ249" s="287">
        <f t="shared" si="19"/>
        <v>0</v>
      </c>
      <c r="AK249" s="267">
        <f t="shared" si="20"/>
        <v>7.1995151515151861</v>
      </c>
      <c r="AL249" s="267">
        <f t="shared" si="21"/>
        <v>5.959285714285727</v>
      </c>
    </row>
    <row r="250" spans="28:38">
      <c r="AB250" s="286">
        <v>40940</v>
      </c>
      <c r="AC250" s="93">
        <v>2</v>
      </c>
      <c r="AD250" s="282">
        <v>413.68353977272727</v>
      </c>
      <c r="AE250" s="285">
        <v>-0.61526393939393942</v>
      </c>
      <c r="AF250" s="285">
        <v>3.5883333333333335E-4</v>
      </c>
      <c r="AG250" s="282">
        <v>284.07196428571456</v>
      </c>
      <c r="AH250" s="285">
        <v>-0.29808095238095333</v>
      </c>
      <c r="AI250" s="285">
        <v>1.4961904761904849E-4</v>
      </c>
      <c r="AJ250" s="287">
        <f t="shared" si="19"/>
        <v>0</v>
      </c>
      <c r="AK250" s="267">
        <f t="shared" si="20"/>
        <v>11.289727272727305</v>
      </c>
      <c r="AL250" s="267">
        <f t="shared" si="21"/>
        <v>8.8614285714285188</v>
      </c>
    </row>
    <row r="251" spans="28:38">
      <c r="AB251" s="286">
        <v>40969</v>
      </c>
      <c r="AC251" s="93">
        <v>3</v>
      </c>
      <c r="AD251" s="282">
        <v>314.78853219696981</v>
      </c>
      <c r="AE251" s="285">
        <v>-0.30138030303030344</v>
      </c>
      <c r="AF251" s="285">
        <v>1.2277272727272761E-4</v>
      </c>
      <c r="AG251" s="282">
        <v>275.02093749999983</v>
      </c>
      <c r="AH251" s="285">
        <v>-0.25294523809523767</v>
      </c>
      <c r="AI251" s="285">
        <v>1.028809523809521E-4</v>
      </c>
      <c r="AJ251" s="287">
        <f t="shared" si="19"/>
        <v>0</v>
      </c>
      <c r="AK251" s="267">
        <f t="shared" si="20"/>
        <v>12.949848484848417</v>
      </c>
      <c r="AL251" s="267">
        <f t="shared" si="21"/>
        <v>10.891190476190502</v>
      </c>
    </row>
    <row r="252" spans="28:38">
      <c r="AB252" s="286">
        <v>41000</v>
      </c>
      <c r="AC252" s="93">
        <v>4</v>
      </c>
      <c r="AD252" s="282">
        <v>303.07722159090923</v>
      </c>
      <c r="AE252" s="285">
        <v>-0.26989666666666701</v>
      </c>
      <c r="AF252" s="285">
        <v>9.3742424242424459E-5</v>
      </c>
      <c r="AG252" s="282">
        <v>234.85410714285737</v>
      </c>
      <c r="AH252" s="285">
        <v>-0.1181714285714293</v>
      </c>
      <c r="AI252" s="285">
        <v>-1.6666666666666041E-5</v>
      </c>
      <c r="AJ252" s="287">
        <f t="shared" si="19"/>
        <v>0</v>
      </c>
      <c r="AK252" s="267">
        <f t="shared" si="20"/>
        <v>13.865727272727327</v>
      </c>
      <c r="AL252" s="267">
        <f t="shared" si="21"/>
        <v>14.150476190476184</v>
      </c>
    </row>
    <row r="253" spans="28:38">
      <c r="AB253" s="286">
        <v>41030</v>
      </c>
      <c r="AC253" s="93">
        <v>5</v>
      </c>
      <c r="AD253" s="282">
        <v>300.42490719696929</v>
      </c>
      <c r="AE253" s="285">
        <v>-0.31622090909090778</v>
      </c>
      <c r="AF253" s="285">
        <v>1.6171212121212017E-4</v>
      </c>
      <c r="AG253" s="282">
        <v>361.02508928571422</v>
      </c>
      <c r="AH253" s="285">
        <v>-0.54259999999999997</v>
      </c>
      <c r="AI253" s="285">
        <v>3.3242857142857163E-4</v>
      </c>
      <c r="AJ253" s="287">
        <f t="shared" si="19"/>
        <v>0</v>
      </c>
      <c r="AK253" s="267">
        <f t="shared" si="20"/>
        <v>8.9823939393940009</v>
      </c>
      <c r="AL253" s="267">
        <f t="shared" si="21"/>
        <v>7.7199999999999704</v>
      </c>
    </row>
    <row r="254" spans="28:38">
      <c r="AB254" s="286">
        <v>41061</v>
      </c>
      <c r="AC254" s="93">
        <v>6</v>
      </c>
      <c r="AD254" s="282">
        <v>230.42778598484864</v>
      </c>
      <c r="AE254" s="285">
        <v>-0.14062575757575807</v>
      </c>
      <c r="AF254" s="285">
        <v>5.0439393939394326E-5</v>
      </c>
      <c r="AG254" s="282">
        <v>136.79956736817687</v>
      </c>
      <c r="AH254" s="285">
        <v>0.13799711352957988</v>
      </c>
      <c r="AI254" s="285">
        <v>-1.7628920881966381E-4</v>
      </c>
      <c r="AJ254" s="287">
        <f t="shared" si="19"/>
        <v>0</v>
      </c>
      <c r="AK254" s="267">
        <f t="shared" si="20"/>
        <v>7.0010606060606051</v>
      </c>
      <c r="AL254" s="267">
        <f t="shared" si="21"/>
        <v>10.880777881794927</v>
      </c>
    </row>
    <row r="255" spans="28:38">
      <c r="AB255" s="286">
        <v>41091</v>
      </c>
      <c r="AC255" s="93">
        <v>7</v>
      </c>
      <c r="AD255" s="282">
        <v>304.56167815613549</v>
      </c>
      <c r="AE255" s="285">
        <v>-0.40778427834863429</v>
      </c>
      <c r="AF255" s="285">
        <v>2.4979963032733805E-4</v>
      </c>
      <c r="AG255" s="282">
        <v>327.38458315807583</v>
      </c>
      <c r="AH255" s="285">
        <v>-0.54523866504912111</v>
      </c>
      <c r="AI255" s="285">
        <v>3.8606195983281657E-4</v>
      </c>
      <c r="AJ255" s="287">
        <f t="shared" si="19"/>
        <v>0</v>
      </c>
      <c r="AK255" s="267">
        <f t="shared" si="20"/>
        <v>5.8064795890361438</v>
      </c>
      <c r="AL255" s="267">
        <f t="shared" si="21"/>
        <v>0.47519212831781488</v>
      </c>
    </row>
    <row r="256" spans="28:38">
      <c r="AB256" s="286">
        <v>41122</v>
      </c>
      <c r="AC256" s="93">
        <v>8</v>
      </c>
      <c r="AD256" s="282">
        <v>353.23043181818178</v>
      </c>
      <c r="AE256" s="285">
        <v>-0.54629818181818168</v>
      </c>
      <c r="AF256" s="285">
        <v>3.4636363636363619E-4</v>
      </c>
      <c r="AG256" s="282">
        <v>317.04312499999997</v>
      </c>
      <c r="AH256" s="285">
        <v>-0.5094428571428572</v>
      </c>
      <c r="AI256" s="285">
        <v>3.5157142857142879E-4</v>
      </c>
      <c r="AJ256" s="287">
        <f t="shared" si="19"/>
        <v>0</v>
      </c>
      <c r="AK256" s="267">
        <f t="shared" si="20"/>
        <v>6.1389090909091237</v>
      </c>
      <c r="AL256" s="267">
        <f t="shared" si="21"/>
        <v>1.7242857142856565</v>
      </c>
    </row>
    <row r="257" spans="28:38">
      <c r="AB257" s="286">
        <v>41153</v>
      </c>
      <c r="AC257" s="93">
        <v>9</v>
      </c>
      <c r="AD257" s="282">
        <v>320.66114962121213</v>
      </c>
      <c r="AE257" s="285">
        <v>-0.42196393939393956</v>
      </c>
      <c r="AF257" s="285">
        <v>2.4898484848484862E-4</v>
      </c>
      <c r="AG257" s="282">
        <v>323.81308035714295</v>
      </c>
      <c r="AH257" s="285">
        <v>-0.52295952380952437</v>
      </c>
      <c r="AI257" s="285">
        <v>3.6402380952381018E-4</v>
      </c>
      <c r="AJ257" s="287">
        <f t="shared" si="19"/>
        <v>0</v>
      </c>
      <c r="AK257" s="267">
        <f t="shared" si="20"/>
        <v>7.3385151515151392</v>
      </c>
      <c r="AL257" s="267">
        <f t="shared" si="21"/>
        <v>1.3326190476190618</v>
      </c>
    </row>
    <row r="258" spans="28:38">
      <c r="AB258" s="286">
        <v>41183</v>
      </c>
      <c r="AC258" s="93">
        <v>10</v>
      </c>
      <c r="AD258" s="282">
        <v>367.15039772727278</v>
      </c>
      <c r="AE258" s="285">
        <v>-0.57135939393939428</v>
      </c>
      <c r="AF258" s="285">
        <v>3.6433333333333359E-4</v>
      </c>
      <c r="AG258" s="282">
        <v>324.90857142857169</v>
      </c>
      <c r="AH258" s="285">
        <v>-0.52978571428571553</v>
      </c>
      <c r="AI258" s="285">
        <v>3.6761904761904886E-4</v>
      </c>
      <c r="AJ258" s="287">
        <f t="shared" si="19"/>
        <v>0</v>
      </c>
      <c r="AK258" s="267">
        <f t="shared" si="20"/>
        <v>6.1292727272727916</v>
      </c>
      <c r="AL258" s="267">
        <f t="shared" si="21"/>
        <v>1.5119047619046455</v>
      </c>
    </row>
    <row r="259" spans="28:38">
      <c r="AB259" s="286">
        <v>41214</v>
      </c>
      <c r="AC259" s="93">
        <v>11</v>
      </c>
      <c r="AD259" s="282">
        <v>377.84322013205531</v>
      </c>
      <c r="AE259" s="285">
        <v>-0.59935664377236753</v>
      </c>
      <c r="AF259" s="285">
        <v>3.8424475553751873E-4</v>
      </c>
      <c r="AG259" s="282">
        <v>303.14669642857109</v>
      </c>
      <c r="AH259" s="285">
        <v>-0.46429523809523721</v>
      </c>
      <c r="AI259" s="285">
        <v>3.2185714285714234E-4</v>
      </c>
      <c r="AJ259" s="287">
        <f t="shared" si="19"/>
        <v>0</v>
      </c>
      <c r="AK259" s="267">
        <f t="shared" si="20"/>
        <v>6.141398601984065</v>
      </c>
      <c r="AL259" s="267">
        <f t="shared" si="21"/>
        <v>1.3695238095238551</v>
      </c>
    </row>
    <row r="260" spans="28:38">
      <c r="AB260" s="286">
        <v>41244</v>
      </c>
      <c r="AC260" s="93">
        <v>12</v>
      </c>
      <c r="AD260" s="282">
        <v>381.51820265151514</v>
      </c>
      <c r="AE260" s="285">
        <v>-0.60111060606060618</v>
      </c>
      <c r="AF260" s="285">
        <v>3.8528787878787889E-4</v>
      </c>
      <c r="AG260" s="282">
        <v>236.8666964285716</v>
      </c>
      <c r="AH260" s="285">
        <v>-0.24876190476190549</v>
      </c>
      <c r="AI260" s="285">
        <v>1.5919047619047689E-4</v>
      </c>
      <c r="AJ260" s="287">
        <f t="shared" si="19"/>
        <v>0</v>
      </c>
      <c r="AK260" s="267">
        <f t="shared" si="20"/>
        <v>6.170757575757591</v>
      </c>
      <c r="AL260" s="267">
        <f t="shared" si="21"/>
        <v>2.5895238095238255</v>
      </c>
    </row>
    <row r="261" spans="28:38">
      <c r="AB261" s="286">
        <v>41275</v>
      </c>
      <c r="AC261" s="93">
        <v>1</v>
      </c>
      <c r="AD261" s="282">
        <v>340.17163068181827</v>
      </c>
      <c r="AE261" s="285">
        <v>-0.4557451515151516</v>
      </c>
      <c r="AF261" s="285">
        <v>2.6380303030303033E-4</v>
      </c>
      <c r="AG261" s="282">
        <v>294.0489732142857</v>
      </c>
      <c r="AH261" s="285">
        <v>-0.41340714285714286</v>
      </c>
      <c r="AI261" s="285">
        <v>2.738333333333335E-4</v>
      </c>
      <c r="AJ261" s="287">
        <f t="shared" si="19"/>
        <v>0</v>
      </c>
      <c r="AK261" s="267">
        <f t="shared" si="20"/>
        <v>8.6420909090908822</v>
      </c>
      <c r="AL261" s="267">
        <f t="shared" si="21"/>
        <v>3.0040476190475829</v>
      </c>
    </row>
    <row r="262" spans="28:38">
      <c r="AB262" s="286">
        <v>41306</v>
      </c>
      <c r="AC262" s="93">
        <v>2</v>
      </c>
      <c r="AD262" s="282">
        <v>364.89913257575779</v>
      </c>
      <c r="AE262" s="285">
        <v>-0.50414848484848562</v>
      </c>
      <c r="AF262" s="285">
        <v>2.7457575757575814E-4</v>
      </c>
      <c r="AG262" s="282">
        <v>332.33480341620407</v>
      </c>
      <c r="AH262" s="285">
        <v>-0.53956634202023857</v>
      </c>
      <c r="AI262" s="285">
        <v>3.6612866057212951E-4</v>
      </c>
      <c r="AJ262" s="287">
        <f t="shared" si="19"/>
        <v>0</v>
      </c>
      <c r="AK262" s="267">
        <f t="shared" si="20"/>
        <v>11.974242424242448</v>
      </c>
      <c r="AL262" s="267">
        <f t="shared" si="21"/>
        <v>2.6986217219258037</v>
      </c>
    </row>
    <row r="263" spans="28:38">
      <c r="AB263" s="286">
        <v>41334</v>
      </c>
      <c r="AC263" s="93">
        <v>3</v>
      </c>
      <c r="AD263" s="282">
        <v>292.02212689393934</v>
      </c>
      <c r="AE263" s="285">
        <v>-0.30204151515151506</v>
      </c>
      <c r="AF263" s="285">
        <v>1.2795454545454538E-4</v>
      </c>
      <c r="AG263" s="282">
        <v>304.01111607142855</v>
      </c>
      <c r="AH263" s="285">
        <v>-0.41498333333333354</v>
      </c>
      <c r="AI263" s="285">
        <v>2.3935714285714321E-4</v>
      </c>
      <c r="AJ263" s="287">
        <f t="shared" si="19"/>
        <v>0</v>
      </c>
      <c r="AK263" s="267">
        <f t="shared" si="20"/>
        <v>12.290515151515137</v>
      </c>
      <c r="AL263" s="267">
        <f t="shared" si="21"/>
        <v>7.9883333333332871</v>
      </c>
    </row>
    <row r="264" spans="28:38">
      <c r="AB264" s="286">
        <v>41365</v>
      </c>
      <c r="AC264" s="93">
        <v>4</v>
      </c>
      <c r="AD264" s="282">
        <v>307.01483522727278</v>
      </c>
      <c r="AE264" s="285">
        <v>-0.35014393939393951</v>
      </c>
      <c r="AF264" s="285">
        <v>1.6737878787878791E-4</v>
      </c>
      <c r="AG264" s="282">
        <v>253.45156250000019</v>
      </c>
      <c r="AH264" s="285">
        <v>-0.22850238095238168</v>
      </c>
      <c r="AI264" s="285">
        <v>7.7309523809524484E-5</v>
      </c>
      <c r="AJ264" s="287">
        <f t="shared" si="19"/>
        <v>0</v>
      </c>
      <c r="AK264" s="267">
        <f t="shared" si="20"/>
        <v>11.581363636363619</v>
      </c>
      <c r="AL264" s="267">
        <f t="shared" si="21"/>
        <v>12.026904761904746</v>
      </c>
    </row>
    <row r="265" spans="28:38">
      <c r="AB265" s="286">
        <v>41395</v>
      </c>
      <c r="AC265" s="93">
        <v>5</v>
      </c>
      <c r="AD265" s="282">
        <v>247.48745075757589</v>
      </c>
      <c r="AE265" s="285">
        <v>-0.25629757575757606</v>
      </c>
      <c r="AF265" s="285">
        <v>1.3748484848484868E-4</v>
      </c>
      <c r="AG265" s="282">
        <v>205.12834821428555</v>
      </c>
      <c r="AH265" s="285">
        <v>-0.16662142857142812</v>
      </c>
      <c r="AI265" s="285">
        <v>8.0357142857142528E-5</v>
      </c>
      <c r="AJ265" s="287">
        <f t="shared" ref="AJ265:AJ328" si="22">VLOOKUP(YEAR(AB265),S$8:T$40,2)*VLOOKUP(AC265,U$8:V$19,2)</f>
        <v>0</v>
      </c>
      <c r="AK265" s="267">
        <f t="shared" si="20"/>
        <v>6.3818787878787475</v>
      </c>
      <c r="AL265" s="267">
        <f t="shared" si="21"/>
        <v>5.412142857142868</v>
      </c>
    </row>
    <row r="266" spans="28:38">
      <c r="AB266" s="286">
        <v>41426</v>
      </c>
      <c r="AC266" s="93">
        <v>6</v>
      </c>
      <c r="AD266" s="282">
        <v>299.55511553030311</v>
      </c>
      <c r="AE266" s="285">
        <v>-0.39019242424242429</v>
      </c>
      <c r="AF266" s="285">
        <v>2.3422727272727272E-4</v>
      </c>
      <c r="AG266" s="282">
        <v>199.32933035714305</v>
      </c>
      <c r="AH266" s="285">
        <v>-0.14203095238095317</v>
      </c>
      <c r="AI266" s="285">
        <v>6.697619047619122E-5</v>
      </c>
      <c r="AJ266" s="287">
        <f t="shared" si="22"/>
        <v>0</v>
      </c>
      <c r="AK266" s="267">
        <f t="shared" ref="AK266:AK329" si="23">((AD266+AE266*($C$12-25)+AF266*($C$12-25)^2-(AD266+AE266*($C$12+25)+AF266*($C$12+25)^2)))/(50/100)</f>
        <v>6.2274242424242061</v>
      </c>
      <c r="AL266" s="267">
        <f t="shared" ref="AL266:AL329" si="24">((AG266+AH266*($C$12-25)+AI266*($C$12-25)^2-(AG266+AH266*($C$12+25)+AI266*($C$12+25)^2)))/(50/100)</f>
        <v>4.8264285714285506</v>
      </c>
    </row>
    <row r="267" spans="28:38">
      <c r="AB267" s="286">
        <v>41456</v>
      </c>
      <c r="AC267" s="93">
        <v>7</v>
      </c>
      <c r="AD267" s="282">
        <v>321.20740151515145</v>
      </c>
      <c r="AE267" s="285">
        <v>-0.44281333333333328</v>
      </c>
      <c r="AF267" s="285">
        <v>2.8115151515151513E-4</v>
      </c>
      <c r="AG267" s="282">
        <v>223.5085714285714</v>
      </c>
      <c r="AH267" s="285">
        <v>-0.214447619047619</v>
      </c>
      <c r="AI267" s="285">
        <v>1.426666666666667E-4</v>
      </c>
      <c r="AJ267" s="287">
        <f t="shared" si="22"/>
        <v>0</v>
      </c>
      <c r="AK267" s="267">
        <f t="shared" si="23"/>
        <v>4.9201212121212166</v>
      </c>
      <c r="AL267" s="267">
        <f t="shared" si="24"/>
        <v>1.4714285714285325</v>
      </c>
    </row>
    <row r="268" spans="28:38">
      <c r="AB268" s="286">
        <v>41487</v>
      </c>
      <c r="AC268" s="93">
        <v>8</v>
      </c>
      <c r="AD268" s="282">
        <v>342.14276515151511</v>
      </c>
      <c r="AE268" s="285">
        <v>-0.46240242424242423</v>
      </c>
      <c r="AF268" s="285">
        <v>2.8260606060606061E-4</v>
      </c>
      <c r="AG268" s="282">
        <v>289.65111607142853</v>
      </c>
      <c r="AH268" s="285">
        <v>-0.37876428571428572</v>
      </c>
      <c r="AI268" s="285">
        <v>2.5288095238095251E-4</v>
      </c>
      <c r="AJ268" s="287">
        <f t="shared" si="22"/>
        <v>0</v>
      </c>
      <c r="AK268" s="267">
        <f t="shared" si="23"/>
        <v>6.6753939393939277</v>
      </c>
      <c r="AL268" s="267">
        <f t="shared" si="24"/>
        <v>2.4730952380952544</v>
      </c>
    </row>
    <row r="269" spans="28:38">
      <c r="AB269" s="286">
        <v>41518</v>
      </c>
      <c r="AC269" s="93">
        <v>9</v>
      </c>
      <c r="AD269" s="282">
        <v>294.08384090909084</v>
      </c>
      <c r="AE269" s="285">
        <v>-0.33479151515151506</v>
      </c>
      <c r="AF269" s="285">
        <v>2.0393939393939387E-4</v>
      </c>
      <c r="AG269" s="282">
        <v>264.74857142857161</v>
      </c>
      <c r="AH269" s="285">
        <v>-0.30022857142857218</v>
      </c>
      <c r="AI269" s="285">
        <v>1.9619047619047692E-4</v>
      </c>
      <c r="AJ269" s="287">
        <f t="shared" si="22"/>
        <v>0</v>
      </c>
      <c r="AK269" s="267">
        <f t="shared" si="23"/>
        <v>4.9276363636363385</v>
      </c>
      <c r="AL269" s="267">
        <f t="shared" si="24"/>
        <v>2.5561904761904657</v>
      </c>
    </row>
    <row r="270" spans="28:38">
      <c r="AB270" s="286">
        <v>41548</v>
      </c>
      <c r="AC270" s="93">
        <v>10</v>
      </c>
      <c r="AD270" s="282">
        <v>450.78783522727281</v>
      </c>
      <c r="AE270" s="285">
        <v>-0.7337196969696973</v>
      </c>
      <c r="AF270" s="285">
        <v>4.6580303030303052E-4</v>
      </c>
      <c r="AG270" s="282">
        <v>390.72218749999962</v>
      </c>
      <c r="AH270" s="285">
        <v>-0.6479690476190465</v>
      </c>
      <c r="AI270" s="285">
        <v>4.4964285714285641E-4</v>
      </c>
      <c r="AJ270" s="287">
        <f t="shared" si="22"/>
        <v>0</v>
      </c>
      <c r="AK270" s="267">
        <f t="shared" si="23"/>
        <v>8.1595454545454231</v>
      </c>
      <c r="AL270" s="267">
        <f t="shared" si="24"/>
        <v>1.8469047619046819</v>
      </c>
    </row>
    <row r="271" spans="28:38">
      <c r="AB271" s="286">
        <v>41579</v>
      </c>
      <c r="AC271" s="93">
        <v>11</v>
      </c>
      <c r="AD271" s="282">
        <v>455.37945643939389</v>
      </c>
      <c r="AE271" s="285">
        <v>-0.75588090909090899</v>
      </c>
      <c r="AF271" s="285">
        <v>4.8846969696969686E-4</v>
      </c>
      <c r="AG271" s="282">
        <v>311.48973214285735</v>
      </c>
      <c r="AH271" s="285">
        <v>-0.4051095238095247</v>
      </c>
      <c r="AI271" s="285">
        <v>2.6861904761904846E-4</v>
      </c>
      <c r="AJ271" s="287">
        <f t="shared" si="22"/>
        <v>0</v>
      </c>
      <c r="AK271" s="267">
        <f t="shared" si="23"/>
        <v>7.2023333333333994</v>
      </c>
      <c r="AL271" s="267">
        <f t="shared" si="24"/>
        <v>2.9042857142856633</v>
      </c>
    </row>
    <row r="272" spans="28:38">
      <c r="AB272" s="286">
        <v>41609</v>
      </c>
      <c r="AC272" s="93">
        <v>12</v>
      </c>
      <c r="AD272" s="282">
        <v>430.20560606060587</v>
      </c>
      <c r="AE272" s="285">
        <v>-0.66691515151515091</v>
      </c>
      <c r="AF272" s="285">
        <v>4.1842424242424195E-4</v>
      </c>
      <c r="AG272" s="282">
        <v>326.88919642857206</v>
      </c>
      <c r="AH272" s="285">
        <v>-0.43838571428571665</v>
      </c>
      <c r="AI272" s="285">
        <v>2.8261904761904972E-4</v>
      </c>
      <c r="AJ272" s="287">
        <f t="shared" si="22"/>
        <v>0</v>
      </c>
      <c r="AK272" s="267">
        <f t="shared" si="23"/>
        <v>8.1121212121212238</v>
      </c>
      <c r="AL272" s="267">
        <f t="shared" si="24"/>
        <v>4.2719047619046933</v>
      </c>
    </row>
    <row r="273" spans="28:38">
      <c r="AB273" s="286">
        <v>41640</v>
      </c>
      <c r="AC273" s="93">
        <v>1</v>
      </c>
      <c r="AD273" s="282">
        <v>466.01324621212126</v>
      </c>
      <c r="AE273" s="285">
        <v>-0.72511696969696982</v>
      </c>
      <c r="AF273" s="285">
        <v>4.3609090909090914E-4</v>
      </c>
      <c r="AG273" s="282">
        <v>407.55165178571463</v>
      </c>
      <c r="AH273" s="285">
        <v>-0.61889285714285869</v>
      </c>
      <c r="AI273" s="285">
        <v>3.7983333333333489E-4</v>
      </c>
      <c r="AJ273" s="287">
        <f t="shared" si="22"/>
        <v>0</v>
      </c>
      <c r="AK273" s="267">
        <f t="shared" si="23"/>
        <v>11.458969696969632</v>
      </c>
      <c r="AL273" s="267">
        <f t="shared" si="24"/>
        <v>8.7126190476190004</v>
      </c>
    </row>
    <row r="274" spans="28:38">
      <c r="AB274" s="286">
        <v>41671</v>
      </c>
      <c r="AC274" s="93">
        <v>2</v>
      </c>
      <c r="AD274" s="282">
        <v>418.00770075757595</v>
      </c>
      <c r="AE274" s="285">
        <v>-0.5430612121212125</v>
      </c>
      <c r="AF274" s="285">
        <v>2.8312121212121236E-4</v>
      </c>
      <c r="AG274" s="282">
        <v>472.52107142857125</v>
      </c>
      <c r="AH274" s="285">
        <v>-0.80605238095238041</v>
      </c>
      <c r="AI274" s="285">
        <v>5.196190476190474E-4</v>
      </c>
      <c r="AJ274" s="287">
        <f t="shared" si="22"/>
        <v>0</v>
      </c>
      <c r="AK274" s="267">
        <f t="shared" si="23"/>
        <v>14.669151515151555</v>
      </c>
      <c r="AL274" s="267">
        <f t="shared" si="24"/>
        <v>7.8585714285714516</v>
      </c>
    </row>
    <row r="275" spans="28:38">
      <c r="AB275" s="286">
        <v>41699</v>
      </c>
      <c r="AC275" s="93">
        <v>3</v>
      </c>
      <c r="AD275" s="282">
        <v>364.61275378787877</v>
      </c>
      <c r="AE275" s="285">
        <v>-0.36184060606060603</v>
      </c>
      <c r="AF275" s="285">
        <v>1.4815151515151513E-4</v>
      </c>
      <c r="AG275" s="282">
        <v>308.89388392857143</v>
      </c>
      <c r="AH275" s="285">
        <v>-0.27781190476190487</v>
      </c>
      <c r="AI275" s="285">
        <v>1.1169047619047637E-4</v>
      </c>
      <c r="AJ275" s="287">
        <f t="shared" si="22"/>
        <v>0</v>
      </c>
      <c r="AK275" s="267">
        <f t="shared" si="23"/>
        <v>15.442848484848469</v>
      </c>
      <c r="AL275" s="267">
        <f t="shared" si="24"/>
        <v>12.144523809523832</v>
      </c>
    </row>
    <row r="276" spans="28:38">
      <c r="AB276" s="286">
        <v>41730</v>
      </c>
      <c r="AC276" s="93">
        <v>4</v>
      </c>
      <c r="AD276" s="282">
        <v>377.73502651515167</v>
      </c>
      <c r="AE276" s="285">
        <v>-0.39981636363636408</v>
      </c>
      <c r="AF276" s="285">
        <v>1.8184848484848517E-4</v>
      </c>
      <c r="AG276" s="282">
        <v>339.34616071428547</v>
      </c>
      <c r="AH276" s="285">
        <v>-0.38360952380952307</v>
      </c>
      <c r="AI276" s="285">
        <v>2.0614285714285667E-4</v>
      </c>
      <c r="AJ276" s="287">
        <f t="shared" si="22"/>
        <v>0</v>
      </c>
      <c r="AK276" s="267">
        <f t="shared" si="23"/>
        <v>14.52284848484851</v>
      </c>
      <c r="AL276" s="267">
        <f t="shared" si="24"/>
        <v>9.5009523809523557</v>
      </c>
    </row>
    <row r="277" spans="28:38">
      <c r="AB277" s="286">
        <v>41760</v>
      </c>
      <c r="AC277" s="93">
        <v>5</v>
      </c>
      <c r="AD277" s="282">
        <v>354.55881439393931</v>
      </c>
      <c r="AE277" s="285">
        <v>-0.30198363636363623</v>
      </c>
      <c r="AF277" s="285">
        <v>1.1324242424242413E-4</v>
      </c>
      <c r="AG277" s="282">
        <v>441.92388392857163</v>
      </c>
      <c r="AH277" s="285">
        <v>-0.67165952380952454</v>
      </c>
      <c r="AI277" s="285">
        <v>4.2521428571428652E-4</v>
      </c>
      <c r="AJ277" s="287">
        <f t="shared" si="22"/>
        <v>0</v>
      </c>
      <c r="AK277" s="267">
        <f t="shared" si="23"/>
        <v>14.344424242424225</v>
      </c>
      <c r="AL277" s="267">
        <f t="shared" si="24"/>
        <v>7.6359523809524035</v>
      </c>
    </row>
    <row r="278" spans="28:38">
      <c r="AB278" s="286">
        <v>41791</v>
      </c>
      <c r="AC278" s="93">
        <v>6</v>
      </c>
      <c r="AD278" s="282">
        <v>207.9483446969698</v>
      </c>
      <c r="AE278" s="285">
        <v>0.18335090909090862</v>
      </c>
      <c r="AF278" s="285">
        <v>-2.3960606060606022E-4</v>
      </c>
      <c r="AG278" s="282">
        <v>261.11250000000013</v>
      </c>
      <c r="AH278" s="285">
        <v>-1.2157142857143246E-2</v>
      </c>
      <c r="AI278" s="285">
        <v>-1.0857142857142825E-4</v>
      </c>
      <c r="AJ278" s="287">
        <f t="shared" si="22"/>
        <v>0</v>
      </c>
      <c r="AK278" s="267">
        <f t="shared" si="23"/>
        <v>15.209757575757635</v>
      </c>
      <c r="AL278" s="267">
        <f t="shared" si="24"/>
        <v>16.415714285714273</v>
      </c>
    </row>
    <row r="279" spans="28:38">
      <c r="AB279" s="286">
        <v>41821</v>
      </c>
      <c r="AC279" s="93">
        <v>7</v>
      </c>
      <c r="AD279" s="282">
        <v>527.65114015151516</v>
      </c>
      <c r="AE279" s="285">
        <v>-0.67500666666666664</v>
      </c>
      <c r="AF279" s="285">
        <v>3.5718181818181818E-4</v>
      </c>
      <c r="AG279" s="282">
        <v>730.17433035714146</v>
      </c>
      <c r="AH279" s="285">
        <v>-1.4267547619047578</v>
      </c>
      <c r="AI279" s="285">
        <v>9.7573809523809234E-4</v>
      </c>
      <c r="AJ279" s="287">
        <f t="shared" si="22"/>
        <v>0</v>
      </c>
      <c r="AK279" s="267">
        <f t="shared" si="23"/>
        <v>17.495212121212035</v>
      </c>
      <c r="AL279" s="267">
        <f t="shared" si="24"/>
        <v>6.0721428571428078</v>
      </c>
    </row>
    <row r="280" spans="28:38">
      <c r="AB280" s="286">
        <v>41852</v>
      </c>
      <c r="AC280" s="93">
        <v>8</v>
      </c>
      <c r="AD280" s="282">
        <v>708.20052467910909</v>
      </c>
      <c r="AE280" s="285">
        <v>-1.2498745467725036</v>
      </c>
      <c r="AF280" s="285">
        <v>7.9456226428723051E-4</v>
      </c>
      <c r="AG280" s="282">
        <v>473.72053571428603</v>
      </c>
      <c r="AH280" s="285">
        <v>-0.60160476190476297</v>
      </c>
      <c r="AI280" s="285">
        <v>3.1552380952381052E-4</v>
      </c>
      <c r="AJ280" s="287">
        <f t="shared" si="22"/>
        <v>0</v>
      </c>
      <c r="AK280" s="267">
        <f t="shared" si="23"/>
        <v>13.748737677038093</v>
      </c>
      <c r="AL280" s="267">
        <f t="shared" si="24"/>
        <v>15.987142857142828</v>
      </c>
    </row>
    <row r="281" spans="28:38">
      <c r="AB281" s="286">
        <v>41883</v>
      </c>
      <c r="AC281" s="93">
        <v>9</v>
      </c>
      <c r="AD281" s="282">
        <v>569.19406818181812</v>
      </c>
      <c r="AE281" s="285">
        <v>-0.77783757575757551</v>
      </c>
      <c r="AF281" s="285">
        <v>4.3606060606060589E-4</v>
      </c>
      <c r="AG281" s="282">
        <v>523.95227678571473</v>
      </c>
      <c r="AH281" s="285">
        <v>-0.71814523809523989</v>
      </c>
      <c r="AI281" s="285">
        <v>4.1997619047619218E-4</v>
      </c>
      <c r="AJ281" s="287">
        <f t="shared" si="22"/>
        <v>0</v>
      </c>
      <c r="AK281" s="267">
        <f t="shared" si="23"/>
        <v>16.735272727272559</v>
      </c>
      <c r="AL281" s="267">
        <f t="shared" si="24"/>
        <v>13.017857142857167</v>
      </c>
    </row>
    <row r="282" spans="28:38">
      <c r="AB282" s="286">
        <v>41913</v>
      </c>
      <c r="AC282" s="93">
        <v>10</v>
      </c>
      <c r="AD282" s="282">
        <v>498.97853409090925</v>
      </c>
      <c r="AE282" s="285">
        <v>-0.52699575757575789</v>
      </c>
      <c r="AF282" s="285">
        <v>2.4833333333333348E-4</v>
      </c>
      <c r="AG282" s="282">
        <v>486.42750000000103</v>
      </c>
      <c r="AH282" s="285">
        <v>-0.58173333333333721</v>
      </c>
      <c r="AI282" s="285">
        <v>3.2000000000000339E-4</v>
      </c>
      <c r="AJ282" s="287">
        <f t="shared" si="22"/>
        <v>0</v>
      </c>
      <c r="AK282" s="267">
        <f t="shared" si="23"/>
        <v>17.932909090909106</v>
      </c>
      <c r="AL282" s="267">
        <f t="shared" si="24"/>
        <v>13.373333333333278</v>
      </c>
    </row>
    <row r="283" spans="28:38">
      <c r="AB283" s="286">
        <v>41944</v>
      </c>
      <c r="AC283" s="93">
        <v>11</v>
      </c>
      <c r="AD283" s="282">
        <v>736.65544128787872</v>
      </c>
      <c r="AE283" s="285">
        <v>-1.2439196969696966</v>
      </c>
      <c r="AF283" s="285">
        <v>7.7174242424242392E-4</v>
      </c>
      <c r="AG283" s="282">
        <v>555.68769497998153</v>
      </c>
      <c r="AH283" s="285">
        <v>-0.7489056537187101</v>
      </c>
      <c r="AI283" s="285">
        <v>4.16099587109631E-4</v>
      </c>
      <c r="AJ283" s="287">
        <f t="shared" si="22"/>
        <v>0</v>
      </c>
      <c r="AK283" s="267">
        <f t="shared" si="23"/>
        <v>16.348030303030441</v>
      </c>
      <c r="AL283" s="267">
        <f t="shared" si="24"/>
        <v>16.636623176522619</v>
      </c>
    </row>
    <row r="284" spans="28:38">
      <c r="AB284" s="286">
        <v>41974</v>
      </c>
      <c r="AC284" s="93">
        <v>12</v>
      </c>
      <c r="AD284" s="282">
        <v>613.34650946969725</v>
      </c>
      <c r="AE284" s="285">
        <v>-0.86163242424242503</v>
      </c>
      <c r="AF284" s="285">
        <v>4.7228787878787938E-4</v>
      </c>
      <c r="AG284" s="282">
        <v>628.43441964285785</v>
      </c>
      <c r="AH284" s="285">
        <v>-1.0684452380952412</v>
      </c>
      <c r="AI284" s="285">
        <v>6.9959523809524113E-4</v>
      </c>
      <c r="AJ284" s="287">
        <f t="shared" si="22"/>
        <v>0</v>
      </c>
      <c r="AK284" s="267">
        <f t="shared" si="23"/>
        <v>20.042939393939434</v>
      </c>
      <c r="AL284" s="267">
        <f t="shared" si="24"/>
        <v>8.9011904761904361</v>
      </c>
    </row>
    <row r="285" spans="28:38">
      <c r="AB285" s="286">
        <v>42005</v>
      </c>
      <c r="AC285" s="93">
        <v>1</v>
      </c>
      <c r="AD285" s="282">
        <v>725.99403787878839</v>
      </c>
      <c r="AE285" s="285">
        <v>-1.2186339393939407</v>
      </c>
      <c r="AF285" s="285">
        <v>7.1872727272727366E-4</v>
      </c>
      <c r="AG285" s="282">
        <v>557.8915178571433</v>
      </c>
      <c r="AH285" s="285">
        <v>-0.83550476190476375</v>
      </c>
      <c r="AI285" s="285">
        <v>4.8157142857143043E-4</v>
      </c>
      <c r="AJ285" s="287">
        <f t="shared" si="22"/>
        <v>0</v>
      </c>
      <c r="AK285" s="267">
        <f t="shared" si="23"/>
        <v>21.241575757575561</v>
      </c>
      <c r="AL285" s="267">
        <f t="shared" si="24"/>
        <v>16.130476190475974</v>
      </c>
    </row>
    <row r="286" spans="28:38">
      <c r="AB286" s="286">
        <v>42036</v>
      </c>
      <c r="AC286" s="93">
        <v>2</v>
      </c>
      <c r="AD286" s="282">
        <v>621.1242367424245</v>
      </c>
      <c r="AE286" s="285">
        <v>-0.91816454545454618</v>
      </c>
      <c r="AF286" s="285">
        <v>4.8780303030303084E-4</v>
      </c>
      <c r="AG286" s="282">
        <v>521.22491071428624</v>
      </c>
      <c r="AH286" s="285">
        <v>-0.76169523809524031</v>
      </c>
      <c r="AI286" s="285">
        <v>4.2128571428571638E-4</v>
      </c>
      <c r="AJ286" s="287">
        <f t="shared" si="22"/>
        <v>0</v>
      </c>
      <c r="AK286" s="267">
        <f t="shared" si="23"/>
        <v>23.524030303030145</v>
      </c>
      <c r="AL286" s="267">
        <f t="shared" si="24"/>
        <v>17.189523809523678</v>
      </c>
    </row>
    <row r="287" spans="28:38">
      <c r="AB287" s="286">
        <v>42064</v>
      </c>
      <c r="AC287" s="93">
        <v>3</v>
      </c>
      <c r="AD287" s="282">
        <v>616.40687689393963</v>
      </c>
      <c r="AE287" s="285">
        <v>-0.84760878787878857</v>
      </c>
      <c r="AF287" s="285">
        <v>4.1722727272727321E-4</v>
      </c>
      <c r="AG287" s="282">
        <v>434.2547767857144</v>
      </c>
      <c r="AH287" s="285">
        <v>-0.45035000000000053</v>
      </c>
      <c r="AI287" s="285">
        <v>1.7692857142857199E-4</v>
      </c>
      <c r="AJ287" s="287">
        <f t="shared" si="22"/>
        <v>0</v>
      </c>
      <c r="AK287" s="267">
        <f t="shared" si="23"/>
        <v>26.349060606060675</v>
      </c>
      <c r="AL287" s="267">
        <f t="shared" si="24"/>
        <v>20.26499999999993</v>
      </c>
    </row>
    <row r="288" spans="28:38">
      <c r="AB288" s="286">
        <v>42095</v>
      </c>
      <c r="AC288" s="93">
        <v>4</v>
      </c>
      <c r="AD288" s="282">
        <v>614.3259015151516</v>
      </c>
      <c r="AE288" s="285">
        <v>-0.82424484848484847</v>
      </c>
      <c r="AF288" s="285">
        <v>4.0199999999999996E-4</v>
      </c>
      <c r="AG288" s="282">
        <v>500.35624999999925</v>
      </c>
      <c r="AH288" s="285">
        <v>-0.61062857142856941</v>
      </c>
      <c r="AI288" s="285">
        <v>2.7838095238095101E-4</v>
      </c>
      <c r="AJ288" s="287">
        <f t="shared" si="22"/>
        <v>0</v>
      </c>
      <c r="AK288" s="267">
        <f t="shared" si="23"/>
        <v>26.144484848485035</v>
      </c>
      <c r="AL288" s="267">
        <f t="shared" si="24"/>
        <v>22.089523809523826</v>
      </c>
    </row>
    <row r="289" spans="28:38">
      <c r="AB289" s="286">
        <v>42125</v>
      </c>
      <c r="AC289" s="93">
        <v>5</v>
      </c>
      <c r="AD289" s="282">
        <v>597.36367663977626</v>
      </c>
      <c r="AE289" s="285">
        <v>-0.81418909074487655</v>
      </c>
      <c r="AF289" s="285">
        <v>4.1924882617543584E-4</v>
      </c>
      <c r="AG289" s="282">
        <v>413.15437500000093</v>
      </c>
      <c r="AH289" s="285">
        <v>-0.3649571428571462</v>
      </c>
      <c r="AI289" s="285">
        <v>1.1642857142857436E-4</v>
      </c>
      <c r="AJ289" s="287">
        <f t="shared" si="22"/>
        <v>0</v>
      </c>
      <c r="AK289" s="267">
        <f t="shared" si="23"/>
        <v>22.724073409926575</v>
      </c>
      <c r="AL289" s="267">
        <f t="shared" si="24"/>
        <v>20.195714285714189</v>
      </c>
    </row>
    <row r="290" spans="28:38">
      <c r="AB290" s="286">
        <v>42156</v>
      </c>
      <c r="AC290" s="93">
        <v>6</v>
      </c>
      <c r="AD290" s="282">
        <v>571.2420881560372</v>
      </c>
      <c r="AE290" s="285">
        <v>-0.76942850985015032</v>
      </c>
      <c r="AF290" s="285">
        <v>4.137188497325463E-4</v>
      </c>
      <c r="AG290" s="282">
        <v>377.59596258363376</v>
      </c>
      <c r="AH290" s="285">
        <v>-0.21610938886611117</v>
      </c>
      <c r="AI290" s="285">
        <v>-4.3722061372982996E-6</v>
      </c>
      <c r="AJ290" s="287">
        <f t="shared" si="22"/>
        <v>0</v>
      </c>
      <c r="AK290" s="267">
        <f t="shared" si="23"/>
        <v>19.022212022458689</v>
      </c>
      <c r="AL290" s="267">
        <f t="shared" si="24"/>
        <v>22.223047745832901</v>
      </c>
    </row>
    <row r="291" spans="28:38">
      <c r="AB291" s="286">
        <v>42186</v>
      </c>
      <c r="AC291" s="93">
        <v>7</v>
      </c>
      <c r="AD291" s="282">
        <v>579.73944021066029</v>
      </c>
      <c r="AE291" s="285">
        <v>-0.84090245449595702</v>
      </c>
      <c r="AF291" s="285">
        <v>4.8435695733213113E-4</v>
      </c>
      <c r="AG291" s="282">
        <v>237.55133640409761</v>
      </c>
      <c r="AH291" s="285">
        <v>0.22736639559498775</v>
      </c>
      <c r="AI291" s="285">
        <v>-3.5416096364449597E-4</v>
      </c>
      <c r="AJ291" s="287">
        <f t="shared" si="22"/>
        <v>0</v>
      </c>
      <c r="AK291" s="267">
        <f t="shared" si="23"/>
        <v>16.280271423097304</v>
      </c>
      <c r="AL291" s="267">
        <f t="shared" si="24"/>
        <v>26.8458953507307</v>
      </c>
    </row>
    <row r="292" spans="28:38">
      <c r="AB292" s="286">
        <v>42217</v>
      </c>
      <c r="AC292" s="93">
        <v>8</v>
      </c>
      <c r="AD292" s="282">
        <v>611.81155492424239</v>
      </c>
      <c r="AE292" s="285">
        <v>-0.95390999999999992</v>
      </c>
      <c r="AF292" s="285">
        <v>5.6307575757575746E-4</v>
      </c>
      <c r="AG292" s="282">
        <v>404.87334821428578</v>
      </c>
      <c r="AH292" s="285">
        <v>-0.43230238095238127</v>
      </c>
      <c r="AI292" s="285">
        <v>2.0854761904761938E-4</v>
      </c>
      <c r="AJ292" s="287">
        <f t="shared" si="22"/>
        <v>0</v>
      </c>
      <c r="AK292" s="267">
        <f t="shared" si="23"/>
        <v>16.560393939393975</v>
      </c>
      <c r="AL292" s="267">
        <f t="shared" si="24"/>
        <v>14.033571428571463</v>
      </c>
    </row>
    <row r="293" spans="28:38">
      <c r="AB293" s="286">
        <v>42248</v>
      </c>
      <c r="AC293" s="93">
        <v>9</v>
      </c>
      <c r="AD293" s="282">
        <v>393.4836155303031</v>
      </c>
      <c r="AE293" s="285">
        <v>-0.41550757575757602</v>
      </c>
      <c r="AF293" s="285">
        <v>2.0671212121212138E-4</v>
      </c>
      <c r="AG293" s="282">
        <v>404.46602678571435</v>
      </c>
      <c r="AH293" s="285">
        <v>-0.5318404761904767</v>
      </c>
      <c r="AI293" s="285">
        <v>3.1835714285714345E-4</v>
      </c>
      <c r="AJ293" s="287">
        <f t="shared" si="22"/>
        <v>0</v>
      </c>
      <c r="AK293" s="267">
        <f t="shared" si="23"/>
        <v>12.611060606060676</v>
      </c>
      <c r="AL293" s="267">
        <f t="shared" si="24"/>
        <v>8.6140476190475397</v>
      </c>
    </row>
    <row r="294" spans="28:38">
      <c r="AB294" s="286">
        <v>42278</v>
      </c>
      <c r="AC294" s="93">
        <v>10</v>
      </c>
      <c r="AD294" s="282">
        <v>305.83489393939402</v>
      </c>
      <c r="AE294" s="285">
        <v>-0.2393018181818185</v>
      </c>
      <c r="AF294" s="285">
        <v>1.198787878787881E-4</v>
      </c>
      <c r="AG294" s="282">
        <v>403.48870535714252</v>
      </c>
      <c r="AH294" s="285">
        <v>-0.6312499999999992</v>
      </c>
      <c r="AI294" s="285">
        <v>4.5178571428571392E-4</v>
      </c>
      <c r="AJ294" s="287">
        <f t="shared" si="22"/>
        <v>0</v>
      </c>
      <c r="AK294" s="267">
        <f t="shared" si="23"/>
        <v>7.1471515151515632</v>
      </c>
      <c r="AL294" s="267">
        <f t="shared" si="24"/>
        <v>-0.12500000000005684</v>
      </c>
    </row>
    <row r="295" spans="28:38">
      <c r="AB295" s="286">
        <v>42309</v>
      </c>
      <c r="AC295" s="93">
        <v>11</v>
      </c>
      <c r="AD295" s="282">
        <v>486.74645454545464</v>
      </c>
      <c r="AE295" s="285">
        <v>-0.7804654545454548</v>
      </c>
      <c r="AF295" s="285">
        <v>4.9090909090909111E-4</v>
      </c>
      <c r="AG295" s="282">
        <v>421.22781250000003</v>
      </c>
      <c r="AH295" s="285">
        <v>-0.7022928571428575</v>
      </c>
      <c r="AI295" s="285">
        <v>4.9073809523809573E-4</v>
      </c>
      <c r="AJ295" s="287">
        <f t="shared" si="22"/>
        <v>0</v>
      </c>
      <c r="AK295" s="267">
        <f t="shared" si="23"/>
        <v>9.319272727272903</v>
      </c>
      <c r="AL295" s="267">
        <f t="shared" si="24"/>
        <v>1.5259523809522761</v>
      </c>
    </row>
    <row r="296" spans="28:38">
      <c r="AB296" s="286">
        <v>42339</v>
      </c>
      <c r="AC296" s="93">
        <v>12</v>
      </c>
      <c r="AD296" s="282">
        <v>404.30071590909108</v>
      </c>
      <c r="AE296" s="285">
        <v>-0.59798242424242476</v>
      </c>
      <c r="AF296" s="285">
        <v>3.5984848484848521E-4</v>
      </c>
      <c r="AG296" s="282">
        <v>321.22700892857165</v>
      </c>
      <c r="AH296" s="285">
        <v>-0.4552023809523818</v>
      </c>
      <c r="AI296" s="285">
        <v>2.994523809523818E-4</v>
      </c>
      <c r="AJ296" s="287">
        <f t="shared" si="22"/>
        <v>0</v>
      </c>
      <c r="AK296" s="267">
        <f t="shared" si="23"/>
        <v>9.4194545454545846</v>
      </c>
      <c r="AL296" s="267">
        <f t="shared" si="24"/>
        <v>3.5969047619046819</v>
      </c>
    </row>
    <row r="297" spans="28:38">
      <c r="AB297" s="286">
        <v>42370</v>
      </c>
      <c r="AC297" s="93">
        <v>1</v>
      </c>
      <c r="AD297" s="282">
        <v>410.42229924242429</v>
      </c>
      <c r="AE297" s="285">
        <v>-0.57758848484848502</v>
      </c>
      <c r="AF297" s="285">
        <v>3.2390909090909096E-4</v>
      </c>
      <c r="AG297" s="282">
        <v>303.09660714285701</v>
      </c>
      <c r="AH297" s="285">
        <v>-0.38324761904761873</v>
      </c>
      <c r="AI297" s="285">
        <v>2.3723809523809513E-4</v>
      </c>
      <c r="AJ297" s="287">
        <f t="shared" si="22"/>
        <v>0</v>
      </c>
      <c r="AK297" s="267">
        <f t="shared" si="23"/>
        <v>12.411575757575747</v>
      </c>
      <c r="AL297" s="267">
        <f t="shared" si="24"/>
        <v>5.1114285714285188</v>
      </c>
    </row>
    <row r="298" spans="28:38">
      <c r="AB298" s="286">
        <v>42401</v>
      </c>
      <c r="AC298" s="93">
        <v>2</v>
      </c>
      <c r="AD298" s="282">
        <v>367.51354734848485</v>
      </c>
      <c r="AE298" s="285">
        <v>-0.45719848484848497</v>
      </c>
      <c r="AF298" s="285">
        <v>2.3780303030303038E-4</v>
      </c>
      <c r="AG298" s="282">
        <v>350.36687499999988</v>
      </c>
      <c r="AH298" s="285">
        <v>-0.49609999999999999</v>
      </c>
      <c r="AI298" s="285">
        <v>3.0100000000000016E-4</v>
      </c>
      <c r="AJ298" s="287">
        <f t="shared" si="22"/>
        <v>0</v>
      </c>
      <c r="AK298" s="267">
        <f t="shared" si="23"/>
        <v>12.427424242424081</v>
      </c>
      <c r="AL298" s="267">
        <f t="shared" si="24"/>
        <v>7.4700000000000273</v>
      </c>
    </row>
    <row r="299" spans="28:38">
      <c r="AB299" s="286">
        <v>42430</v>
      </c>
      <c r="AC299" s="93">
        <v>3</v>
      </c>
      <c r="AD299" s="282">
        <v>369.10208901515159</v>
      </c>
      <c r="AE299" s="285">
        <v>-0.41604030303030326</v>
      </c>
      <c r="AF299" s="285">
        <v>1.8595454545454563E-4</v>
      </c>
      <c r="AG299" s="282">
        <v>296.86261160714304</v>
      </c>
      <c r="AH299" s="285">
        <v>-0.29013452380952448</v>
      </c>
      <c r="AI299" s="285">
        <v>1.2077380952381019E-4</v>
      </c>
      <c r="AJ299" s="287">
        <f t="shared" si="22"/>
        <v>0</v>
      </c>
      <c r="AK299" s="267">
        <f t="shared" si="23"/>
        <v>15.570393939393966</v>
      </c>
      <c r="AL299" s="267">
        <f t="shared" si="24"/>
        <v>12.105119047618984</v>
      </c>
    </row>
    <row r="300" spans="28:38">
      <c r="AB300" s="286">
        <v>42461</v>
      </c>
      <c r="AC300" s="93">
        <v>4</v>
      </c>
      <c r="AD300" s="282">
        <v>390.13999431818166</v>
      </c>
      <c r="AE300" s="285">
        <v>-0.55562393939393906</v>
      </c>
      <c r="AF300" s="285">
        <v>3.1228787878787847E-4</v>
      </c>
      <c r="AG300" s="282">
        <v>254.24669642857145</v>
      </c>
      <c r="AH300" s="285">
        <v>-0.24487619047619072</v>
      </c>
      <c r="AI300" s="285">
        <v>1.2204761904761934E-4</v>
      </c>
      <c r="AJ300" s="287">
        <f t="shared" si="22"/>
        <v>0</v>
      </c>
      <c r="AK300" s="267">
        <f t="shared" si="23"/>
        <v>11.842090909090928</v>
      </c>
      <c r="AL300" s="267">
        <f t="shared" si="24"/>
        <v>7.400952380952333</v>
      </c>
    </row>
    <row r="301" spans="28:38">
      <c r="AB301" s="286">
        <v>42491</v>
      </c>
      <c r="AC301" s="93">
        <v>5</v>
      </c>
      <c r="AD301" s="282">
        <v>268.67600189393954</v>
      </c>
      <c r="AE301" s="285">
        <v>-0.20625424242424281</v>
      </c>
      <c r="AF301" s="285">
        <v>6.5681818181818463E-5</v>
      </c>
      <c r="AG301" s="282">
        <v>257.18366071428579</v>
      </c>
      <c r="AH301" s="285">
        <v>-0.27287142857142893</v>
      </c>
      <c r="AI301" s="285">
        <v>1.5185714285714328E-4</v>
      </c>
      <c r="AJ301" s="287">
        <f t="shared" si="22"/>
        <v>0</v>
      </c>
      <c r="AK301" s="267">
        <f t="shared" si="23"/>
        <v>11.429969696969692</v>
      </c>
      <c r="AL301" s="267">
        <f t="shared" si="24"/>
        <v>6.0271428571427919</v>
      </c>
    </row>
    <row r="302" spans="28:38">
      <c r="AB302" s="286">
        <v>42522</v>
      </c>
      <c r="AC302" s="93">
        <v>6</v>
      </c>
      <c r="AD302" s="282">
        <v>317.86214015151506</v>
      </c>
      <c r="AE302" s="285">
        <v>-0.37285878787878751</v>
      </c>
      <c r="AF302" s="285">
        <v>1.9596969696969669E-4</v>
      </c>
      <c r="AG302" s="282">
        <v>269.72548283722273</v>
      </c>
      <c r="AH302" s="285">
        <v>-0.31669279882812745</v>
      </c>
      <c r="AI302" s="285">
        <v>1.8539632424063534E-4</v>
      </c>
      <c r="AJ302" s="287">
        <f t="shared" si="22"/>
        <v>0</v>
      </c>
      <c r="AK302" s="267">
        <f t="shared" si="23"/>
        <v>9.8501212121212234</v>
      </c>
      <c r="AL302" s="267">
        <f t="shared" si="24"/>
        <v>5.7137944891237566</v>
      </c>
    </row>
    <row r="303" spans="28:38">
      <c r="AB303" s="286">
        <v>42552</v>
      </c>
      <c r="AC303" s="93">
        <v>7</v>
      </c>
      <c r="AD303" s="282">
        <v>281.08492994461784</v>
      </c>
      <c r="AE303" s="285">
        <v>-0.31892734948548257</v>
      </c>
      <c r="AF303" s="285">
        <v>1.8098738241056656E-4</v>
      </c>
      <c r="AG303" s="282">
        <v>253.01317129706067</v>
      </c>
      <c r="AH303" s="285">
        <v>-0.28023878490155307</v>
      </c>
      <c r="AI303" s="285">
        <v>1.6331003401356156E-4</v>
      </c>
      <c r="AJ303" s="287">
        <f t="shared" si="22"/>
        <v>0</v>
      </c>
      <c r="AK303" s="267">
        <f t="shared" si="23"/>
        <v>6.5545014110689408</v>
      </c>
      <c r="AL303" s="267">
        <f t="shared" si="24"/>
        <v>5.1604737282567044</v>
      </c>
    </row>
    <row r="304" spans="28:38">
      <c r="AB304" s="286">
        <v>42583</v>
      </c>
      <c r="AC304" s="93">
        <v>8</v>
      </c>
      <c r="AD304" s="282">
        <v>265.62514772727275</v>
      </c>
      <c r="AE304" s="285">
        <v>-0.26105030303030313</v>
      </c>
      <c r="AF304" s="285">
        <v>1.3724242424242432E-4</v>
      </c>
      <c r="AG304" s="282">
        <v>220.12459821428567</v>
      </c>
      <c r="AH304" s="285">
        <v>-0.14972142857142856</v>
      </c>
      <c r="AI304" s="285">
        <v>5.3023809523809562E-5</v>
      </c>
      <c r="AJ304" s="287">
        <f t="shared" si="22"/>
        <v>0</v>
      </c>
      <c r="AK304" s="267">
        <f t="shared" si="23"/>
        <v>6.8910909090909627</v>
      </c>
      <c r="AL304" s="267">
        <f t="shared" si="24"/>
        <v>7.5488095238094957</v>
      </c>
    </row>
    <row r="305" spans="28:38">
      <c r="AB305" s="286">
        <v>42614</v>
      </c>
      <c r="AC305" s="93">
        <v>9</v>
      </c>
      <c r="AD305" s="282">
        <v>292.58085416666665</v>
      </c>
      <c r="AE305" s="285">
        <v>-0.39897242424242418</v>
      </c>
      <c r="AF305" s="285">
        <v>2.5159090909090899E-4</v>
      </c>
      <c r="AG305" s="282">
        <v>150.322857142857</v>
      </c>
      <c r="AH305" s="285">
        <v>-2.7723809523808908E-2</v>
      </c>
      <c r="AI305" s="285">
        <v>-2.8571428571433667E-6</v>
      </c>
      <c r="AJ305" s="287">
        <f t="shared" si="22"/>
        <v>1</v>
      </c>
      <c r="AK305" s="267">
        <f t="shared" si="23"/>
        <v>4.6745151515152088</v>
      </c>
      <c r="AL305" s="267">
        <f t="shared" si="24"/>
        <v>3.1723809523809336</v>
      </c>
    </row>
    <row r="306" spans="28:38">
      <c r="AB306" s="286">
        <v>42644</v>
      </c>
      <c r="AC306" s="93">
        <v>10</v>
      </c>
      <c r="AD306" s="282">
        <v>234.79466856060606</v>
      </c>
      <c r="AE306" s="285">
        <v>-0.31180575757575751</v>
      </c>
      <c r="AF306" s="285">
        <v>2.1986363636363634E-4</v>
      </c>
      <c r="AG306" s="282">
        <v>222.30477678571424</v>
      </c>
      <c r="AH306" s="285">
        <v>-0.34062619047619053</v>
      </c>
      <c r="AI306" s="285">
        <v>2.6683333333333355E-4</v>
      </c>
      <c r="AJ306" s="287">
        <f t="shared" si="22"/>
        <v>1</v>
      </c>
      <c r="AK306" s="267">
        <f t="shared" si="23"/>
        <v>0.39966666666666129</v>
      </c>
      <c r="AL306" s="267">
        <f t="shared" si="24"/>
        <v>-3.2940476190476033</v>
      </c>
    </row>
    <row r="307" spans="28:38">
      <c r="AB307" s="286">
        <v>42675</v>
      </c>
      <c r="AC307" s="93">
        <v>11</v>
      </c>
      <c r="AD307" s="282">
        <v>323.68818181818187</v>
      </c>
      <c r="AE307" s="285">
        <v>-0.54400606060606072</v>
      </c>
      <c r="AF307" s="285">
        <v>3.7357575757575767E-4</v>
      </c>
      <c r="AG307" s="282">
        <v>282.99174107142869</v>
      </c>
      <c r="AH307" s="285">
        <v>-0.49591666666666734</v>
      </c>
      <c r="AI307" s="285">
        <v>3.8635714285714358E-4</v>
      </c>
      <c r="AJ307" s="287">
        <f t="shared" si="22"/>
        <v>1</v>
      </c>
      <c r="AK307" s="267">
        <f t="shared" si="23"/>
        <v>2.0999999999999659</v>
      </c>
      <c r="AL307" s="267">
        <f t="shared" si="24"/>
        <v>-4.498333333333278</v>
      </c>
    </row>
    <row r="308" spans="28:38">
      <c r="AB308" s="286">
        <v>42705</v>
      </c>
      <c r="AC308" s="93">
        <v>12</v>
      </c>
      <c r="AD308" s="282">
        <v>294.99097348484838</v>
      </c>
      <c r="AE308" s="285">
        <v>-0.40070727272727241</v>
      </c>
      <c r="AF308" s="285">
        <v>2.4578787878787854E-4</v>
      </c>
      <c r="AG308" s="282">
        <v>255.98285714285728</v>
      </c>
      <c r="AH308" s="285">
        <v>-0.35759047619047685</v>
      </c>
      <c r="AI308" s="285">
        <v>2.5047619047619115E-4</v>
      </c>
      <c r="AJ308" s="287">
        <f t="shared" si="22"/>
        <v>0</v>
      </c>
      <c r="AK308" s="267">
        <f t="shared" si="23"/>
        <v>5.6604242424242557</v>
      </c>
      <c r="AL308" s="267">
        <f t="shared" si="24"/>
        <v>0.6923809523809723</v>
      </c>
    </row>
    <row r="309" spans="28:38">
      <c r="AB309" s="286">
        <v>42736</v>
      </c>
      <c r="AC309" s="93">
        <v>1</v>
      </c>
      <c r="AD309" s="282">
        <v>310.66389583333341</v>
      </c>
      <c r="AE309" s="285">
        <v>-0.41428575757575781</v>
      </c>
      <c r="AF309" s="285">
        <v>2.4059090909090927E-4</v>
      </c>
      <c r="AG309" s="282">
        <v>220.83763392857128</v>
      </c>
      <c r="AH309" s="285">
        <v>-0.22304523809523777</v>
      </c>
      <c r="AI309" s="285">
        <v>1.33690476190476E-4</v>
      </c>
      <c r="AJ309" s="287">
        <f t="shared" si="22"/>
        <v>0</v>
      </c>
      <c r="AK309" s="267">
        <f t="shared" si="23"/>
        <v>7.7458484848485227</v>
      </c>
      <c r="AL309" s="267">
        <f t="shared" si="24"/>
        <v>3.5878571428571036</v>
      </c>
    </row>
    <row r="310" spans="28:38">
      <c r="AB310" s="286">
        <v>42767</v>
      </c>
      <c r="AC310" s="93">
        <v>2</v>
      </c>
      <c r="AD310" s="282">
        <v>358.07854734848502</v>
      </c>
      <c r="AE310" s="285">
        <v>-0.53942393939393984</v>
      </c>
      <c r="AF310" s="285">
        <v>3.1125757575757606E-4</v>
      </c>
      <c r="AG310" s="282">
        <v>230.28660714285695</v>
      </c>
      <c r="AH310" s="285">
        <v>-0.25552857142857088</v>
      </c>
      <c r="AI310" s="285">
        <v>1.4942857142857105E-4</v>
      </c>
      <c r="AJ310" s="287">
        <f t="shared" si="22"/>
        <v>0</v>
      </c>
      <c r="AK310" s="267">
        <f t="shared" si="23"/>
        <v>10.366333333333387</v>
      </c>
      <c r="AL310" s="267">
        <f t="shared" si="24"/>
        <v>4.6328571428571195</v>
      </c>
    </row>
    <row r="311" spans="28:38">
      <c r="AB311" s="286">
        <v>42795</v>
      </c>
      <c r="AC311" s="93">
        <v>3</v>
      </c>
      <c r="AD311" s="282">
        <v>312.29780681818181</v>
      </c>
      <c r="AE311" s="285">
        <v>-0.39056424242424242</v>
      </c>
      <c r="AF311" s="285">
        <v>2.0275757575757573E-4</v>
      </c>
      <c r="AG311" s="282">
        <v>326.52866071428554</v>
      </c>
      <c r="AH311" s="285">
        <v>-0.5471523809523805</v>
      </c>
      <c r="AI311" s="285">
        <v>3.720476190476188E-4</v>
      </c>
      <c r="AJ311" s="287">
        <f t="shared" si="22"/>
        <v>0</v>
      </c>
      <c r="AK311" s="267">
        <f t="shared" si="23"/>
        <v>10.670363636363618</v>
      </c>
      <c r="AL311" s="267">
        <f t="shared" si="24"/>
        <v>2.6285714285714903</v>
      </c>
    </row>
    <row r="312" spans="28:38">
      <c r="AB312" s="286">
        <v>42826</v>
      </c>
      <c r="AC312" s="93">
        <v>4</v>
      </c>
      <c r="AD312" s="282">
        <v>327.92024621212119</v>
      </c>
      <c r="AE312" s="285">
        <v>-0.42915454545454546</v>
      </c>
      <c r="AF312" s="285">
        <v>2.3633333333333335E-4</v>
      </c>
      <c r="AG312" s="282">
        <v>292.90977678571437</v>
      </c>
      <c r="AH312" s="285">
        <v>-0.39915952380952424</v>
      </c>
      <c r="AI312" s="285">
        <v>2.4550000000000049E-4</v>
      </c>
      <c r="AJ312" s="287">
        <f t="shared" si="22"/>
        <v>0</v>
      </c>
      <c r="AK312" s="267">
        <f t="shared" si="23"/>
        <v>9.8287878787878071</v>
      </c>
      <c r="AL312" s="267">
        <f t="shared" si="24"/>
        <v>5.545952380952258</v>
      </c>
    </row>
    <row r="313" spans="28:38">
      <c r="AB313" s="286">
        <v>42856</v>
      </c>
      <c r="AC313" s="93">
        <v>5</v>
      </c>
      <c r="AD313" s="282">
        <v>295.57038068181834</v>
      </c>
      <c r="AE313" s="285">
        <v>-0.32995848484848528</v>
      </c>
      <c r="AF313" s="285">
        <v>1.8046969696969731E-4</v>
      </c>
      <c r="AG313" s="282">
        <v>231.48950892857169</v>
      </c>
      <c r="AH313" s="285">
        <v>-0.18499285714285799</v>
      </c>
      <c r="AI313" s="285">
        <v>8.4214285714286435E-5</v>
      </c>
      <c r="AJ313" s="287">
        <f t="shared" si="22"/>
        <v>0</v>
      </c>
      <c r="AK313" s="267">
        <f t="shared" si="23"/>
        <v>7.7300909090909045</v>
      </c>
      <c r="AL313" s="267">
        <f t="shared" si="24"/>
        <v>6.709285714285727</v>
      </c>
    </row>
    <row r="314" spans="28:38">
      <c r="AB314" s="286">
        <v>42887</v>
      </c>
      <c r="AC314" s="93">
        <v>6</v>
      </c>
      <c r="AD314" s="282">
        <v>174.0162821969698</v>
      </c>
      <c r="AE314" s="285">
        <v>2.6983333333333161E-2</v>
      </c>
      <c r="AF314" s="285">
        <v>-7.0863636363636227E-5</v>
      </c>
      <c r="AG314" s="282">
        <v>221.65254464285749</v>
      </c>
      <c r="AH314" s="285">
        <v>-0.15767857142857264</v>
      </c>
      <c r="AI314" s="285">
        <v>6.792857142857246E-5</v>
      </c>
      <c r="AJ314" s="287">
        <f t="shared" si="22"/>
        <v>0</v>
      </c>
      <c r="AK314" s="267">
        <f t="shared" si="23"/>
        <v>7.2225757575757257</v>
      </c>
      <c r="AL314" s="267">
        <f t="shared" si="24"/>
        <v>6.2578571428571195</v>
      </c>
    </row>
    <row r="315" spans="28:38">
      <c r="AB315" s="286">
        <v>42917</v>
      </c>
      <c r="AC315" s="93">
        <v>7</v>
      </c>
      <c r="AD315" s="282">
        <v>260.41615760239654</v>
      </c>
      <c r="AE315" s="285">
        <v>-0.22569543107727569</v>
      </c>
      <c r="AF315" s="285">
        <v>1.127955014214646E-4</v>
      </c>
      <c r="AG315" s="282">
        <v>131.92034372545572</v>
      </c>
      <c r="AH315" s="285">
        <v>0.11486978837783303</v>
      </c>
      <c r="AI315" s="285">
        <v>-1.3402190953683686E-4</v>
      </c>
      <c r="AJ315" s="287">
        <f t="shared" si="22"/>
        <v>0</v>
      </c>
      <c r="AK315" s="267">
        <f t="shared" si="23"/>
        <v>6.7781729087225813</v>
      </c>
      <c r="AL315" s="267">
        <f t="shared" si="24"/>
        <v>7.2760884973737916</v>
      </c>
    </row>
    <row r="316" spans="28:38">
      <c r="AB316" s="286">
        <v>42948</v>
      </c>
      <c r="AC316" s="93">
        <v>8</v>
      </c>
      <c r="AD316" s="282">
        <v>299.37477840909105</v>
      </c>
      <c r="AE316" s="285">
        <v>-0.3442354545454549</v>
      </c>
      <c r="AF316" s="285">
        <v>1.9304545454545486E-4</v>
      </c>
      <c r="AG316" s="282">
        <v>259.87120535714257</v>
      </c>
      <c r="AH316" s="285">
        <v>-0.29760714285714202</v>
      </c>
      <c r="AI316" s="285">
        <v>1.8321428571428514E-4</v>
      </c>
      <c r="AJ316" s="287">
        <f t="shared" si="22"/>
        <v>0</v>
      </c>
      <c r="AK316" s="267">
        <f t="shared" si="23"/>
        <v>7.3971818181818207</v>
      </c>
      <c r="AL316" s="267">
        <f t="shared" si="24"/>
        <v>4.1107142857142662</v>
      </c>
    </row>
    <row r="317" spans="28:38">
      <c r="AB317" s="286">
        <v>42979</v>
      </c>
      <c r="AC317" s="93">
        <v>9</v>
      </c>
      <c r="AD317" s="282">
        <v>244.8728522727273</v>
      </c>
      <c r="AE317" s="285">
        <v>-0.18650606060606079</v>
      </c>
      <c r="AF317" s="285">
        <v>9.1121212121212262E-5</v>
      </c>
      <c r="AG317" s="282">
        <v>187.28352678571429</v>
      </c>
      <c r="AH317" s="285">
        <v>-6.71119047619049E-2</v>
      </c>
      <c r="AI317" s="285">
        <v>1.3976190476190652E-5</v>
      </c>
      <c r="AJ317" s="287">
        <f t="shared" si="22"/>
        <v>1</v>
      </c>
      <c r="AK317" s="267">
        <f t="shared" si="23"/>
        <v>5.8936363636363467</v>
      </c>
      <c r="AL317" s="267">
        <f t="shared" si="24"/>
        <v>4.7545238095237892</v>
      </c>
    </row>
    <row r="318" spans="28:38">
      <c r="AB318" s="286">
        <v>43009</v>
      </c>
      <c r="AC318" s="93">
        <v>10</v>
      </c>
      <c r="AD318" s="282">
        <v>341.2014450757577</v>
      </c>
      <c r="AE318" s="285">
        <v>-0.49190333333333375</v>
      </c>
      <c r="AF318" s="285">
        <v>3.1959090909090945E-4</v>
      </c>
      <c r="AG318" s="282">
        <v>257.32915178571409</v>
      </c>
      <c r="AH318" s="285">
        <v>-0.29859761904761833</v>
      </c>
      <c r="AI318" s="285">
        <v>1.981190476190471E-4</v>
      </c>
      <c r="AJ318" s="287">
        <f t="shared" si="22"/>
        <v>1</v>
      </c>
      <c r="AK318" s="267">
        <f t="shared" si="23"/>
        <v>4.4476060606061196</v>
      </c>
      <c r="AL318" s="267">
        <f t="shared" si="24"/>
        <v>2.1230952380952317</v>
      </c>
    </row>
    <row r="319" spans="28:38">
      <c r="AB319" s="286">
        <v>43040</v>
      </c>
      <c r="AC319" s="93">
        <v>11</v>
      </c>
      <c r="AD319" s="282">
        <v>358.95846401515161</v>
      </c>
      <c r="AE319" s="285">
        <v>-0.51119484848484886</v>
      </c>
      <c r="AF319" s="285">
        <v>3.2550000000000027E-4</v>
      </c>
      <c r="AG319" s="282">
        <v>344.11897321428546</v>
      </c>
      <c r="AH319" s="285">
        <v>-0.5858785714285708</v>
      </c>
      <c r="AI319" s="285">
        <v>4.4011904761904731E-4</v>
      </c>
      <c r="AJ319" s="287">
        <f t="shared" si="22"/>
        <v>1</v>
      </c>
      <c r="AK319" s="267">
        <f t="shared" si="23"/>
        <v>5.5494848484848944</v>
      </c>
      <c r="AL319" s="267">
        <f t="shared" si="24"/>
        <v>-3.0288095238095707</v>
      </c>
    </row>
    <row r="320" spans="28:38">
      <c r="AB320" s="286">
        <v>43070</v>
      </c>
      <c r="AC320" s="93">
        <v>12</v>
      </c>
      <c r="AD320" s="282">
        <v>356.65844696969702</v>
      </c>
      <c r="AE320" s="285">
        <v>-0.53556000000000004</v>
      </c>
      <c r="AF320" s="285">
        <v>3.4503030303030302E-4</v>
      </c>
      <c r="AG320" s="282">
        <v>258.8340178571429</v>
      </c>
      <c r="AH320" s="285">
        <v>-0.33004761904761937</v>
      </c>
      <c r="AI320" s="285">
        <v>2.3014285714285753E-4</v>
      </c>
      <c r="AJ320" s="287">
        <f t="shared" si="22"/>
        <v>0</v>
      </c>
      <c r="AK320" s="267">
        <f t="shared" si="23"/>
        <v>5.2517575757574946</v>
      </c>
      <c r="AL320" s="267">
        <f t="shared" si="24"/>
        <v>0.78476190476192187</v>
      </c>
    </row>
    <row r="321" spans="28:38">
      <c r="AB321" s="286">
        <v>43101</v>
      </c>
      <c r="AC321" s="93">
        <v>1</v>
      </c>
      <c r="AD321" s="282">
        <v>317.01943939393954</v>
      </c>
      <c r="AE321" s="285">
        <v>-0.38074303030303064</v>
      </c>
      <c r="AF321" s="285">
        <v>2.1030303030303052E-4</v>
      </c>
      <c r="AG321" s="282">
        <v>335.93535714285684</v>
      </c>
      <c r="AH321" s="285">
        <v>-0.53547619047618966</v>
      </c>
      <c r="AI321" s="285">
        <v>3.6628571428571385E-4</v>
      </c>
      <c r="AJ321" s="287">
        <f t="shared" si="22"/>
        <v>0</v>
      </c>
      <c r="AK321" s="267">
        <f t="shared" si="23"/>
        <v>8.6318787878786907</v>
      </c>
      <c r="AL321" s="267">
        <f t="shared" si="24"/>
        <v>2.2676190476190072</v>
      </c>
    </row>
    <row r="322" spans="28:38">
      <c r="AB322" s="286">
        <v>43132</v>
      </c>
      <c r="AC322" s="93">
        <v>2</v>
      </c>
      <c r="AD322" s="282">
        <v>368.16997916666662</v>
      </c>
      <c r="AE322" s="285">
        <v>-0.49869303030303019</v>
      </c>
      <c r="AF322" s="285">
        <v>2.7653030303030293E-4</v>
      </c>
      <c r="AG322" s="282">
        <v>316.33933035714261</v>
      </c>
      <c r="AH322" s="285">
        <v>-0.42638809523809451</v>
      </c>
      <c r="AI322" s="285">
        <v>2.5440476190476146E-4</v>
      </c>
      <c r="AJ322" s="287">
        <f t="shared" si="22"/>
        <v>0</v>
      </c>
      <c r="AK322" s="267">
        <f t="shared" si="23"/>
        <v>11.155060606060658</v>
      </c>
      <c r="AL322" s="267">
        <f t="shared" si="24"/>
        <v>7.0221428571429101</v>
      </c>
    </row>
    <row r="323" spans="28:38">
      <c r="AB323" s="286">
        <v>43160</v>
      </c>
      <c r="AC323" s="93">
        <v>3</v>
      </c>
      <c r="AD323" s="282">
        <v>336.3318750000002</v>
      </c>
      <c r="AE323" s="285">
        <v>-0.40749515151515214</v>
      </c>
      <c r="AF323" s="285">
        <v>2.0148484848484899E-4</v>
      </c>
      <c r="AG323" s="282">
        <v>294.22437499999978</v>
      </c>
      <c r="AH323" s="285">
        <v>-0.31950476190476113</v>
      </c>
      <c r="AI323" s="285">
        <v>1.3661904761904707E-4</v>
      </c>
      <c r="AJ323" s="287">
        <f t="shared" si="22"/>
        <v>0</v>
      </c>
      <c r="AK323" s="267">
        <f t="shared" si="23"/>
        <v>12.541636363636314</v>
      </c>
      <c r="AL323" s="267">
        <f t="shared" si="24"/>
        <v>12.82380952380953</v>
      </c>
    </row>
    <row r="324" spans="28:38">
      <c r="AB324" s="286">
        <v>43191</v>
      </c>
      <c r="AC324" s="93">
        <v>4</v>
      </c>
      <c r="AD324" s="282">
        <v>336.77982196969714</v>
      </c>
      <c r="AE324" s="285">
        <v>-0.40965272727272767</v>
      </c>
      <c r="AF324" s="285">
        <v>1.9875757575757606E-4</v>
      </c>
      <c r="AG324" s="282">
        <v>287.18238799199912</v>
      </c>
      <c r="AH324" s="285">
        <v>-0.30941281386845687</v>
      </c>
      <c r="AI324" s="285">
        <v>1.2802817184020499E-4</v>
      </c>
      <c r="AJ324" s="287">
        <f t="shared" si="22"/>
        <v>0</v>
      </c>
      <c r="AK324" s="267">
        <f t="shared" si="23"/>
        <v>13.13921212121204</v>
      </c>
      <c r="AL324" s="267">
        <f t="shared" si="24"/>
        <v>13.017337329217014</v>
      </c>
    </row>
    <row r="325" spans="28:38">
      <c r="AB325" s="286">
        <v>43221</v>
      </c>
      <c r="AC325" s="93">
        <v>5</v>
      </c>
      <c r="AD325" s="282">
        <v>243.04704734848491</v>
      </c>
      <c r="AE325" s="285">
        <v>-0.12423121212121245</v>
      </c>
      <c r="AF325" s="285">
        <v>-5.4696969696966946E-6</v>
      </c>
      <c r="AG325" s="282">
        <v>350.64232142857134</v>
      </c>
      <c r="AH325" s="285">
        <v>-0.52710952380952392</v>
      </c>
      <c r="AI325" s="285">
        <v>3.0771428571428605E-4</v>
      </c>
      <c r="AJ325" s="287">
        <f t="shared" si="22"/>
        <v>0</v>
      </c>
      <c r="AK325" s="267">
        <f t="shared" si="23"/>
        <v>13.188878787878821</v>
      </c>
      <c r="AL325" s="267">
        <f t="shared" si="24"/>
        <v>9.630952380952408</v>
      </c>
    </row>
    <row r="326" spans="28:38">
      <c r="AB326" s="286">
        <v>43252</v>
      </c>
      <c r="AC326" s="93">
        <v>6</v>
      </c>
      <c r="AD326" s="282">
        <v>245.46047537878792</v>
      </c>
      <c r="AE326" s="285">
        <v>-0.15483303030303044</v>
      </c>
      <c r="AF326" s="285">
        <v>3.2318181818181941E-5</v>
      </c>
      <c r="AG326" s="282">
        <v>292.55982142857152</v>
      </c>
      <c r="AH326" s="285">
        <v>-0.37642857142857195</v>
      </c>
      <c r="AI326" s="285">
        <v>2.2219047619047679E-4</v>
      </c>
      <c r="AJ326" s="287">
        <f t="shared" si="22"/>
        <v>0</v>
      </c>
      <c r="AK326" s="267">
        <f t="shared" si="23"/>
        <v>10.958757575757545</v>
      </c>
      <c r="AL326" s="267">
        <f t="shared" si="24"/>
        <v>6.5361904761904839</v>
      </c>
    </row>
    <row r="327" spans="28:38">
      <c r="AB327" s="286">
        <v>43282</v>
      </c>
      <c r="AC327" s="93">
        <v>7</v>
      </c>
      <c r="AD327" s="282">
        <v>266.80609645153197</v>
      </c>
      <c r="AE327" s="285">
        <v>-0.22797080536264314</v>
      </c>
      <c r="AF327" s="285">
        <v>1.0263757099802015E-4</v>
      </c>
      <c r="AG327" s="282">
        <v>225.75095613647272</v>
      </c>
      <c r="AH327" s="285">
        <v>-0.1042164450219871</v>
      </c>
      <c r="AI327" s="285">
        <v>-1.5767569763306678E-5</v>
      </c>
      <c r="AJ327" s="287">
        <f t="shared" si="22"/>
        <v>0</v>
      </c>
      <c r="AK327" s="267">
        <f t="shared" si="23"/>
        <v>8.4278205965414941</v>
      </c>
      <c r="AL327" s="267">
        <f t="shared" si="24"/>
        <v>12.6291042690616</v>
      </c>
    </row>
    <row r="328" spans="28:38">
      <c r="AB328" s="286">
        <v>43313</v>
      </c>
      <c r="AC328" s="93">
        <v>8</v>
      </c>
      <c r="AD328" s="282">
        <v>241.56426704545453</v>
      </c>
      <c r="AE328" s="285">
        <v>-0.15508818181818176</v>
      </c>
      <c r="AF328" s="285">
        <v>5.3136363636363595E-5</v>
      </c>
      <c r="AG328" s="282">
        <v>365.04602678571439</v>
      </c>
      <c r="AH328" s="285">
        <v>-0.60367380952380989</v>
      </c>
      <c r="AI328" s="285">
        <v>4.1435714285714334E-4</v>
      </c>
      <c r="AJ328" s="287">
        <f t="shared" si="22"/>
        <v>0</v>
      </c>
      <c r="AK328" s="267">
        <f t="shared" si="23"/>
        <v>8.0697272727273344</v>
      </c>
      <c r="AL328" s="267">
        <f t="shared" si="24"/>
        <v>2.3573809523809359</v>
      </c>
    </row>
    <row r="329" spans="28:38">
      <c r="AB329" s="286">
        <v>43344</v>
      </c>
      <c r="AC329" s="93">
        <v>9</v>
      </c>
      <c r="AD329" s="282">
        <v>256.90798484848494</v>
      </c>
      <c r="AE329" s="285">
        <v>-0.19164606060606082</v>
      </c>
      <c r="AF329" s="285">
        <v>8.2545454545454691E-5</v>
      </c>
      <c r="AG329" s="282">
        <v>243.65428571428566</v>
      </c>
      <c r="AH329" s="285">
        <v>-0.2048999999999998</v>
      </c>
      <c r="AI329" s="285">
        <v>1.0323809523809511E-4</v>
      </c>
      <c r="AJ329" s="287">
        <f t="shared" ref="AJ329:AJ340" si="25">VLOOKUP(YEAR(AB329),S$8:T$40,2)*VLOOKUP(AC329,U$8:V$19,2)</f>
        <v>1</v>
      </c>
      <c r="AK329" s="267">
        <f t="shared" si="23"/>
        <v>7.6082424242424622</v>
      </c>
      <c r="AL329" s="267">
        <f t="shared" si="24"/>
        <v>6.0366666666666902</v>
      </c>
    </row>
    <row r="330" spans="28:38">
      <c r="AB330" s="286">
        <v>43374</v>
      </c>
      <c r="AC330" s="93">
        <v>10</v>
      </c>
      <c r="AD330" s="282">
        <v>323.34833143939403</v>
      </c>
      <c r="AE330" s="285">
        <v>-0.42554575757575774</v>
      </c>
      <c r="AF330" s="285">
        <v>2.6498484848484863E-4</v>
      </c>
      <c r="AG330" s="282">
        <v>245.5329017857141</v>
      </c>
      <c r="AH330" s="285">
        <v>-0.26953571428571382</v>
      </c>
      <c r="AI330" s="285">
        <v>1.8907142857142831E-4</v>
      </c>
      <c r="AJ330" s="287">
        <f t="shared" si="25"/>
        <v>1</v>
      </c>
      <c r="AK330" s="267">
        <f t="shared" ref="AK330:AK340" si="26">((AD330+AE330*($C$12-25)+AF330*($C$12-25)^2-(AD330+AE330*($C$12+25)+AF330*($C$12+25)^2)))/(50/100)</f>
        <v>5.4566969696969636</v>
      </c>
      <c r="AL330" s="267">
        <f t="shared" ref="AL330:AL340" si="27">((AG330+AH330*($C$12-25)+AI330*($C$12-25)^2-(AG330+AH330*($C$12+25)+AI330*($C$12+25)^2)))/(50/100)</f>
        <v>0.48357142857139479</v>
      </c>
    </row>
    <row r="331" spans="28:38">
      <c r="AB331" s="286">
        <v>43405</v>
      </c>
      <c r="AC331" s="93">
        <v>11</v>
      </c>
      <c r="AD331" s="282">
        <v>296.64741098484853</v>
      </c>
      <c r="AE331" s="285">
        <v>-0.35639000000000021</v>
      </c>
      <c r="AF331" s="285">
        <v>2.1101515151515166E-4</v>
      </c>
      <c r="AG331" s="282">
        <v>193.41794642857184</v>
      </c>
      <c r="AH331" s="285">
        <v>-0.13089523809523954</v>
      </c>
      <c r="AI331" s="285">
        <v>8.519047619047742E-5</v>
      </c>
      <c r="AJ331" s="287">
        <f t="shared" si="25"/>
        <v>1</v>
      </c>
      <c r="AK331" s="267">
        <f t="shared" si="26"/>
        <v>6.0968787878787793</v>
      </c>
      <c r="AL331" s="267">
        <f t="shared" si="27"/>
        <v>1.1628571428570922</v>
      </c>
    </row>
    <row r="332" spans="28:38">
      <c r="AB332" s="286">
        <v>43435</v>
      </c>
      <c r="AC332" s="93">
        <v>12</v>
      </c>
      <c r="AD332" s="282">
        <v>414.37958712121201</v>
      </c>
      <c r="AE332" s="285">
        <v>-0.70646363636363607</v>
      </c>
      <c r="AF332" s="285">
        <v>4.6051515151515127E-4</v>
      </c>
      <c r="AG332" s="282">
        <v>270.0092857142858</v>
      </c>
      <c r="AH332" s="285">
        <v>-0.37797619047619097</v>
      </c>
      <c r="AI332" s="285">
        <v>2.7580952380952436E-4</v>
      </c>
      <c r="AJ332" s="287">
        <f t="shared" si="25"/>
        <v>0</v>
      </c>
      <c r="AK332" s="267">
        <f t="shared" si="26"/>
        <v>6.1742424242424363</v>
      </c>
      <c r="AL332" s="267">
        <f t="shared" si="27"/>
        <v>-0.81571428571419347</v>
      </c>
    </row>
    <row r="333" spans="28:38">
      <c r="AB333" s="286">
        <v>43466</v>
      </c>
      <c r="AC333" s="93">
        <v>1</v>
      </c>
      <c r="AD333" s="282">
        <v>245.81152840909098</v>
      </c>
      <c r="AE333" s="285">
        <v>-0.20699909090909113</v>
      </c>
      <c r="AF333" s="285">
        <v>9.4681818181818368E-5</v>
      </c>
      <c r="AG333" s="282">
        <v>236.86736607142862</v>
      </c>
      <c r="AH333" s="285">
        <v>-0.25348809523809551</v>
      </c>
      <c r="AI333" s="285">
        <v>1.5697619047619075E-4</v>
      </c>
      <c r="AJ333" s="287">
        <f t="shared" si="25"/>
        <v>0</v>
      </c>
      <c r="AK333" s="267">
        <f t="shared" si="26"/>
        <v>7.444454545454505</v>
      </c>
      <c r="AL333" s="267">
        <f t="shared" si="27"/>
        <v>3.372142857142876</v>
      </c>
    </row>
    <row r="334" spans="28:38">
      <c r="AB334" s="286">
        <v>43497</v>
      </c>
      <c r="AC334" s="93">
        <v>2</v>
      </c>
      <c r="AD334" s="282">
        <v>299.40131250000007</v>
      </c>
      <c r="AE334" s="285">
        <v>-0.33735242424242451</v>
      </c>
      <c r="AF334" s="285">
        <v>1.7325757575757596E-4</v>
      </c>
      <c r="AG334" s="282">
        <v>219.95433035714285</v>
      </c>
      <c r="AH334" s="285">
        <v>-0.15506904761904758</v>
      </c>
      <c r="AI334" s="285">
        <v>5.3261904761904771E-5</v>
      </c>
      <c r="AJ334" s="287">
        <f t="shared" si="25"/>
        <v>0</v>
      </c>
      <c r="AK334" s="267">
        <f t="shared" si="26"/>
        <v>9.4791818181818144</v>
      </c>
      <c r="AL334" s="267">
        <f t="shared" si="27"/>
        <v>8.0502380952381145</v>
      </c>
    </row>
    <row r="335" spans="28:38">
      <c r="AB335" s="286">
        <v>43525</v>
      </c>
      <c r="AC335" s="93">
        <v>3</v>
      </c>
      <c r="AD335" s="282">
        <v>276.64119128787877</v>
      </c>
      <c r="AE335" s="285">
        <v>-0.24038272727272719</v>
      </c>
      <c r="AF335" s="285">
        <v>8.743939393939387E-5</v>
      </c>
      <c r="AG335" s="282">
        <v>278.37410714285716</v>
      </c>
      <c r="AH335" s="285">
        <v>-0.32086666666666691</v>
      </c>
      <c r="AI335" s="285">
        <v>1.6771428571428604E-4</v>
      </c>
      <c r="AJ335" s="287">
        <f t="shared" si="25"/>
        <v>0</v>
      </c>
      <c r="AK335" s="267">
        <f t="shared" si="26"/>
        <v>11.796757575757567</v>
      </c>
      <c r="AL335" s="267">
        <f t="shared" si="27"/>
        <v>8.6066666666665697</v>
      </c>
    </row>
    <row r="336" spans="28:38">
      <c r="AB336" s="286">
        <v>43556</v>
      </c>
      <c r="AC336" s="93">
        <v>4</v>
      </c>
      <c r="AD336" s="282">
        <v>289.11478598484842</v>
      </c>
      <c r="AE336" s="285">
        <v>-0.24622818181818173</v>
      </c>
      <c r="AF336" s="285">
        <v>8.2196969696969664E-5</v>
      </c>
      <c r="AG336" s="282">
        <v>199.08113552945136</v>
      </c>
      <c r="AH336" s="285">
        <v>-5.4923003190384498E-2</v>
      </c>
      <c r="AI336" s="285">
        <v>-4.5239247142988452E-5</v>
      </c>
      <c r="AJ336" s="287">
        <f t="shared" si="25"/>
        <v>0</v>
      </c>
      <c r="AK336" s="267">
        <f t="shared" si="26"/>
        <v>13.11524242424241</v>
      </c>
      <c r="AL336" s="267">
        <f t="shared" si="27"/>
        <v>11.825794919056762</v>
      </c>
    </row>
    <row r="337" spans="28:38">
      <c r="AB337" s="286">
        <v>43586</v>
      </c>
      <c r="AC337" s="93">
        <v>5</v>
      </c>
      <c r="AD337" s="282">
        <v>254.67848863636357</v>
      </c>
      <c r="AE337" s="285">
        <v>-0.19900787878787859</v>
      </c>
      <c r="AF337" s="285">
        <v>6.0575757575757398E-5</v>
      </c>
      <c r="AG337" s="282">
        <v>176.65678571428558</v>
      </c>
      <c r="AH337" s="285">
        <v>-3.70666666666662E-2</v>
      </c>
      <c r="AI337" s="285">
        <v>-4.0761904761905111E-5</v>
      </c>
      <c r="AJ337" s="287">
        <f t="shared" si="25"/>
        <v>0</v>
      </c>
      <c r="AK337" s="267">
        <f t="shared" si="26"/>
        <v>11.420181818181845</v>
      </c>
      <c r="AL337" s="267">
        <f t="shared" si="27"/>
        <v>9.4133333333333553</v>
      </c>
    </row>
    <row r="338" spans="28:38">
      <c r="AB338" s="286">
        <v>43617</v>
      </c>
      <c r="AC338" s="93">
        <v>6</v>
      </c>
      <c r="AD338" s="282">
        <v>271.92821780303035</v>
      </c>
      <c r="AE338" s="285">
        <v>-0.25011545454545475</v>
      </c>
      <c r="AF338" s="285">
        <v>8.9651515151515304E-5</v>
      </c>
      <c r="AG338" s="282">
        <v>305.6207589285716</v>
      </c>
      <c r="AH338" s="285">
        <v>-0.47833571428571514</v>
      </c>
      <c r="AI338" s="285">
        <v>3.1478571428571515E-4</v>
      </c>
      <c r="AJ338" s="287">
        <f t="shared" si="25"/>
        <v>0</v>
      </c>
      <c r="AK338" s="267">
        <f t="shared" si="26"/>
        <v>12.460333333333381</v>
      </c>
      <c r="AL338" s="267">
        <f t="shared" si="27"/>
        <v>3.7635714285713675</v>
      </c>
    </row>
    <row r="339" spans="28:38">
      <c r="AB339" s="286">
        <v>43647</v>
      </c>
      <c r="AC339" s="93">
        <v>7</v>
      </c>
      <c r="AD339" s="282">
        <v>220.75657504362314</v>
      </c>
      <c r="AE339" s="285">
        <v>-0.14759957451045111</v>
      </c>
      <c r="AF339" s="285">
        <v>5.4824291079107963E-5</v>
      </c>
      <c r="AG339" s="282">
        <v>270.95080357142859</v>
      </c>
      <c r="AH339" s="285">
        <v>-0.38170000000000032</v>
      </c>
      <c r="AI339" s="285">
        <v>2.5719047619047661E-4</v>
      </c>
      <c r="AJ339" s="287">
        <f t="shared" si="25"/>
        <v>0</v>
      </c>
      <c r="AK339" s="267">
        <f t="shared" si="26"/>
        <v>7.0845566999700509</v>
      </c>
      <c r="AL339" s="267">
        <f t="shared" si="27"/>
        <v>2.1633333333333553</v>
      </c>
    </row>
    <row r="340" spans="28:38">
      <c r="AB340" s="286">
        <v>43678</v>
      </c>
      <c r="AC340" s="93">
        <v>8</v>
      </c>
      <c r="AD340" s="282">
        <v>266.8957064393939</v>
      </c>
      <c r="AE340" s="285">
        <v>-0.28148454545454515</v>
      </c>
      <c r="AF340" s="285">
        <v>1.4610606060606039E-4</v>
      </c>
      <c r="AG340" s="282">
        <v>234.03794642857144</v>
      </c>
      <c r="AH340" s="285">
        <v>-0.25186666666666691</v>
      </c>
      <c r="AI340" s="285">
        <v>1.4880952380952412E-4</v>
      </c>
      <c r="AJ340" s="287">
        <f t="shared" si="25"/>
        <v>0</v>
      </c>
      <c r="AK340" s="267">
        <f t="shared" si="26"/>
        <v>7.6936060606061005</v>
      </c>
      <c r="AL340" s="267">
        <f t="shared" si="27"/>
        <v>4.353333333333353</v>
      </c>
    </row>
    <row r="341" spans="28:38">
      <c r="AB341" s="286">
        <v>43709</v>
      </c>
      <c r="AC341" s="93">
        <v>9</v>
      </c>
      <c r="AD341" s="282"/>
      <c r="AE341" s="285"/>
      <c r="AF341" s="285"/>
      <c r="AG341" s="282"/>
      <c r="AH341" s="285"/>
      <c r="AI341" s="285"/>
      <c r="AJ341" s="287"/>
    </row>
    <row r="342" spans="28:38">
      <c r="AB342" s="286">
        <v>43739</v>
      </c>
      <c r="AC342" s="93">
        <v>10</v>
      </c>
      <c r="AD342" s="282"/>
      <c r="AE342" s="285"/>
      <c r="AF342" s="285"/>
      <c r="AG342" s="282"/>
      <c r="AH342" s="285"/>
      <c r="AI342" s="285"/>
      <c r="AJ342" s="287"/>
    </row>
    <row r="343" spans="28:38">
      <c r="AB343" s="286">
        <v>43770</v>
      </c>
      <c r="AC343" s="93">
        <v>11</v>
      </c>
      <c r="AJ343" s="287"/>
    </row>
    <row r="344" spans="28:38">
      <c r="AB344" s="286">
        <v>43800</v>
      </c>
      <c r="AC344" s="93">
        <v>12</v>
      </c>
      <c r="AJ344" s="287"/>
    </row>
    <row r="345" spans="28:38">
      <c r="AB345" s="286"/>
      <c r="AC345" s="93"/>
      <c r="AJ345" s="287"/>
    </row>
    <row r="346" spans="28:38">
      <c r="AB346" s="286"/>
      <c r="AC346" s="93"/>
      <c r="AJ346" s="287"/>
    </row>
    <row r="347" spans="28:38">
      <c r="AB347" s="286"/>
      <c r="AJ347" s="287"/>
    </row>
    <row r="348" spans="28:38">
      <c r="AB348" s="286"/>
      <c r="AJ348" s="287"/>
    </row>
    <row r="349" spans="28:38">
      <c r="AB349" s="286"/>
      <c r="AJ349" s="287"/>
    </row>
    <row r="350" spans="28:38">
      <c r="AB350" s="286"/>
      <c r="AJ350" s="287"/>
    </row>
    <row r="351" spans="28:38">
      <c r="AB351" s="286"/>
      <c r="AJ351" s="287"/>
    </row>
    <row r="352" spans="28:38">
      <c r="AB352" s="286"/>
      <c r="AJ352" s="287"/>
    </row>
    <row r="353" spans="28:36">
      <c r="AB353" s="286"/>
      <c r="AJ353" s="287"/>
    </row>
    <row r="354" spans="28:36">
      <c r="AB354" s="286"/>
      <c r="AJ354" s="287"/>
    </row>
  </sheetData>
  <sheetProtection password="9F29" sheet="1" objects="1" scenarios="1"/>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sheetPr published="0"/>
  <dimension ref="B2:D4"/>
  <sheetViews>
    <sheetView showGridLines="0" workbookViewId="0">
      <selection activeCell="A10" sqref="A10"/>
    </sheetView>
  </sheetViews>
  <sheetFormatPr defaultRowHeight="14.5"/>
  <cols>
    <col min="2" max="2" width="110.6328125" customWidth="1"/>
  </cols>
  <sheetData>
    <row r="2" spans="2:4">
      <c r="B2" t="s">
        <v>241</v>
      </c>
      <c r="D2" t="s">
        <v>239</v>
      </c>
    </row>
    <row r="4" spans="2:4" ht="399.9" customHeight="1">
      <c r="B4" s="346" t="s">
        <v>238</v>
      </c>
      <c r="D4" s="346" t="s">
        <v>240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782A2114C30E48AFB18ECE2E32E4EB" ma:contentTypeVersion="10" ma:contentTypeDescription="Create a new document." ma:contentTypeScope="" ma:versionID="b2e62b51dbbc5bf5c339cac8fd28bc0c">
  <xsd:schema xmlns:xsd="http://www.w3.org/2001/XMLSchema" xmlns:xs="http://www.w3.org/2001/XMLSchema" xmlns:p="http://schemas.microsoft.com/office/2006/metadata/properties" xmlns:ns3="239f7077-77cb-4343-97d4-8bc068bdf9a4" targetNamespace="http://schemas.microsoft.com/office/2006/metadata/properties" ma:root="true" ma:fieldsID="285b1a666d9a5a579d006eaf21ec757c" ns3:_="">
    <xsd:import namespace="239f7077-77cb-4343-97d4-8bc068bdf9a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9f7077-77cb-4343-97d4-8bc068bdf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67F6DC-6EEC-4D5A-9486-5ABD2463936D}">
  <ds:schemaRefs>
    <ds:schemaRef ds:uri="http://purl.org/dc/elements/1.1/"/>
    <ds:schemaRef ds:uri="http://purl.org/dc/dcmitype/"/>
    <ds:schemaRef ds:uri="239f7077-77cb-4343-97d4-8bc068bdf9a4"/>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7A345A67-A631-41BA-BC62-E30B3B1B3B16}">
  <ds:schemaRefs>
    <ds:schemaRef ds:uri="http://schemas.microsoft.com/sharepoint/v3/contenttype/forms"/>
  </ds:schemaRefs>
</ds:datastoreItem>
</file>

<file path=customXml/itemProps3.xml><?xml version="1.0" encoding="utf-8"?>
<ds:datastoreItem xmlns:ds="http://schemas.openxmlformats.org/officeDocument/2006/customXml" ds:itemID="{5B4E4800-B653-4027-9F15-A62F788C1C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9f7077-77cb-4343-97d4-8bc068bdf9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Instructions</vt:lpstr>
      <vt:lpstr>Cow-calf</vt:lpstr>
      <vt:lpstr>Feedlot</vt:lpstr>
      <vt:lpstr>Label</vt:lpstr>
      <vt:lpstr>ValueOfGain</vt:lpstr>
      <vt:lpstr>Box</vt:lpstr>
      <vt:lpstr>Box</vt:lpstr>
      <vt:lpstr>None</vt:lpstr>
      <vt:lpstr>'Cow-calf'!Print_Area</vt:lpstr>
      <vt:lpstr>Feedlot!Print_Area</vt:lpstr>
      <vt:lpstr>Label!Print_Area</vt:lpstr>
    </vt:vector>
  </TitlesOfParts>
  <Company>Eli Lilly and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C Dhuyvetter</dc:creator>
  <cp:lastModifiedBy>Windows User</cp:lastModifiedBy>
  <cp:lastPrinted>2019-09-20T18:47:53Z</cp:lastPrinted>
  <dcterms:created xsi:type="dcterms:W3CDTF">2017-11-16T13:55:45Z</dcterms:created>
  <dcterms:modified xsi:type="dcterms:W3CDTF">2021-01-09T18:44:58Z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0x01010009782A2114C30E48AFB18ECE2E32E4EB</vt:lpwstr>
  </property>
</Properties>
</file>