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drawings/drawing1.xml" ContentType="application/vnd.openxmlformats-officedocument.drawing+xml"/>
  <Override PartName="/xl/media/image1.jpeg" ContentType="image/jpeg"/>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Program" sheetId="1" r:id="rId4"/>
    <sheet name="Planner Worksheet" sheetId="2" r:id="rId5"/>
    <sheet name="System Activities" sheetId="3" r:id="rId6"/>
    <sheet name="System Inputs" sheetId="4" r:id="rId7"/>
    <sheet name="Calendar" sheetId="5" r:id="rId8"/>
    <sheet name="Print Out" sheetId="6" r:id="rId9"/>
    <sheet name="Tips &amp; Overview" sheetId="7" r:id="rId10"/>
    <sheet name="Visual Protocols" sheetId="8" r:id="rId11"/>
    <sheet name="notes" sheetId="9" r:id="rId12"/>
  </sheets>
</workbook>
</file>

<file path=xl/comments1.xml><?xml version="1.0" encoding="utf-8"?>
<comments xmlns="http://schemas.openxmlformats.org/spreadsheetml/2006/main">
  <authors>
    <author>garland</author>
    <author>Garland Dahlke</author>
    <author>Garland RJ Dahlke</author>
  </authors>
  <commentList>
    <comment ref="K9" authorId="0">
      <text>
        <r>
          <rPr>
            <sz val="11"/>
            <color indexed="8"/>
            <rFont val="Helvetica Neue"/>
          </rPr>
          <t xml:space="preserve">garland:
Abbreviations:
  CIDR  = Controlled Intravaginal Drug Release device - contains 1.38 g progesterone.
  E-AI   = Estrus detection followed with artificial insemination 6 to 12 hrs after observed standing estrus (heat).
  GnRH = Gonadotropin-Releasing Hormone [Commercial products available include: Cystorelin (Merial), Factrel (Fort Dodge), Fertagyl (Intervet), OvaCyst (Phoenix Scientific)]
  MGA  = Melengestrol Acetate 
  PG      = Prostaglandin F2alpha [Commerial products available include: Estrumate (Schering Plough), InSynch (Agri Labs), Lutalyse (Pfizer), ProstaMate (Phoenix Scientific)].
Operation:
  1.  Provide inputs regarding when you wish to start breeding animals.
  2.  Select a heat detection - insemination category;  estrus detection and then AI, Fixed-time AI (no heat detection), or a combination of Estrus-AI followed by a cleanup AI on remaining animals not yet bred.
  3.  Select the system that you wish to use from the Cow System list or the Heifer System list.
  4.  Fill in the appropriate information regarding the drug costs, head count, etc.
  5.  Go to the PRINT OUT or CALENDAR page and select print from the Excel menu above to get a paper printout.
</t>
        </r>
      </text>
    </comment>
    <comment ref="D15" authorId="0">
      <text>
        <r>
          <rPr>
            <sz val="11"/>
            <color indexed="8"/>
            <rFont val="Helvetica Neue"/>
          </rPr>
          <t xml:space="preserve">garland:
3 options:
 1 =Estrus AI.  Inseminate animals 6-12 hours after standing heat is first observed.
 2 = Estrus AI &amp;Clean-up AI = insemination following observed estrus up to time point prescribed in schedule, followed by mass insemination of animals not previously detected in heat.
 3 = Fixed -Time AI = a single, mass insemination of all animals.  No heat detection used.
</t>
        </r>
      </text>
    </comment>
    <comment ref="D16" authorId="0">
      <text>
        <r>
          <rPr>
            <sz val="11"/>
            <color indexed="8"/>
            <rFont val="Helvetica Neue"/>
          </rPr>
          <t xml:space="preserve">garland:
Preferred systems appear in list based on "Detection-Insemination type" input.  Input the number associated with the system of your choice.
</t>
        </r>
      </text>
    </comment>
    <comment ref="D17" authorId="0">
      <text>
        <r>
          <rPr>
            <sz val="11"/>
            <color indexed="8"/>
            <rFont val="Helvetica Neue"/>
          </rPr>
          <t>garland:
This is the day that you wish to start heat detection and AI.  In the case of Fixed-Time AI, this is the day that you wish to inseminate the whole group.</t>
        </r>
      </text>
    </comment>
    <comment ref="D18" authorId="0">
      <text>
        <r>
          <rPr>
            <sz val="11"/>
            <color indexed="8"/>
            <rFont val="Helvetica Neue"/>
          </rPr>
          <t>garland:
Used with Clean-up AI and Fixed Time AI systems.  The average number of hours between PG administration and insemination should be close to the suggested interval.  Strive for the recommended interval +/- 2 hours.</t>
        </r>
      </text>
    </comment>
    <comment ref="J18" authorId="1">
      <text>
        <r>
          <rPr>
            <sz val="11"/>
            <color indexed="8"/>
            <rFont val="Helvetica Neue"/>
          </rPr>
          <t xml:space="preserve">Garland Dahlke:
Indicate an estimate of the number of females you can inseminate in one hour with the available facilities.
</t>
        </r>
      </text>
    </comment>
    <comment ref="D19" authorId="2">
      <text>
        <r>
          <rPr>
            <sz val="11"/>
            <color indexed="8"/>
            <rFont val="Helvetica Neue"/>
          </rPr>
          <t xml:space="preserve">Garland RJ Dahlke:
Some of these products may require veterinary supervision to use for synchronization.
The GnRH (gonadotropin releasing hormone) product can be specified by indicating the product number shown to the right and will appear on the Calendar printout.  If no product is specified the calendar will report as "GnRH".
</t>
        </r>
      </text>
    </comment>
    <comment ref="C20" authorId="2">
      <text>
        <r>
          <rPr>
            <sz val="11"/>
            <color indexed="8"/>
            <rFont val="Helvetica Neue"/>
          </rPr>
          <t xml:space="preserve">Garland RJ Dahlke:
Some of these products may require veterinary supervision to use for synchronization.
The PG (prostaglandin) product can be specified by indicating the product number shown to the right and will appear on the Calendar printout.  If no product is specified the calendar will report as "PG".
</t>
        </r>
      </text>
    </comment>
    <comment ref="K20" authorId="1">
      <text>
        <r>
          <rPr>
            <sz val="11"/>
            <color indexed="8"/>
            <rFont val="Helvetica Neue"/>
          </rPr>
          <t xml:space="preserve">Garland Dahlke:
The comment that appears here indicates when the breeding group size is becoming too large:  Synchronize no more females than you can inseminate within the the time range given by the protocol, usually 3--4 hours.
</t>
        </r>
      </text>
    </comment>
    <comment ref="D21" authorId="2">
      <text>
        <r>
          <rPr>
            <sz val="11"/>
            <color indexed="8"/>
            <rFont val="Helvetica Neue"/>
          </rPr>
          <t>Garland RJ Dahlke:
The number of days between the final AI and the day that a clean-up bull will be turned in to breed any open females.  
A value of "1" indicates next day bull exposure, a value of "0" indicates no exposure to clean-up bulls.</t>
        </r>
      </text>
    </comment>
    <comment ref="D22" authorId="1">
      <text>
        <r>
          <rPr>
            <sz val="11"/>
            <color indexed="8"/>
            <rFont val="Helvetica Neue"/>
          </rPr>
          <t xml:space="preserve">Garland Dahlke:
Optional footnote note that can be placed on calendar
</t>
        </r>
      </text>
    </comment>
    <comment ref="I22" authorId="2">
      <text>
        <r>
          <rPr>
            <sz val="11"/>
            <color indexed="8"/>
            <rFont val="Helvetica Neue"/>
          </rPr>
          <t xml:space="preserve">Garland RJ Dahlke:
An AI-synch system number from the lists below can be indicated here to allow for cost comparison with selected system on Print Out. 
</t>
        </r>
      </text>
    </comment>
    <comment ref="I23" authorId="2">
      <text>
        <r>
          <rPr>
            <sz val="11"/>
            <color indexed="8"/>
            <rFont val="Helvetica Neue"/>
          </rPr>
          <t xml:space="preserve">Garland RJ Dahlke:
An AI-synch system number from the lists below can be indicated here to allow for cost comparison with selected system on Print Out. 
</t>
        </r>
      </text>
    </comment>
    <comment ref="B39" authorId="1">
      <text>
        <r>
          <rPr>
            <sz val="11"/>
            <color indexed="8"/>
            <rFont val="Helvetica Neue"/>
          </rPr>
          <t xml:space="preserve">Garland Dahlke:
These protocols are beef cow protocols and may not work well on dairy cows.  
A number of these protocols have been historically used with dairy cows and have a ''*'' after the name shown above.  
For current dairy cow suggested protocols see:  www.dcrcouncil.org/protocols.aspx
</t>
        </r>
      </text>
    </comment>
    <comment ref="B43" authorId="2">
      <text>
        <r>
          <rPr>
            <sz val="11"/>
            <color indexed="8"/>
            <rFont val="Helvetica Neue"/>
          </rPr>
          <t xml:space="preserve">Garland RJ Dahlke:
This estimate of labor includes gathering, sorting and handling of cattle, heat detection, synchronization treatments and AI service.  
The equation used is from Loseke, 1989:  hours of labor = 2.53 x (no. of cows or heifers x number of days worked )^.5
</t>
        </r>
      </text>
    </comment>
    <comment ref="F46" authorId="2">
      <text>
        <r>
          <rPr>
            <sz val="11"/>
            <color indexed="8"/>
            <rFont val="Helvetica Neue"/>
          </rPr>
          <t xml:space="preserve">Garland RJ Dahlke:
Charges you might consider here would be: heat detection aids (patches, Heat Watch, gomer bulls or others), ultrasound pregnancy determination, chute charges or other miscellaneous items.  Labor is accounted for above.
</t>
        </r>
      </text>
    </comment>
    <comment ref="B47" authorId="2">
      <text>
        <r>
          <rPr>
            <sz val="11"/>
            <color indexed="8"/>
            <rFont val="Helvetica Neue"/>
          </rPr>
          <t xml:space="preserve">Garland RJ Dahlke:
Estimated days you may have the animals in a dry lot for synchronization.  You may indicate the actual days in the entery below if this figure is incorrect.
</t>
        </r>
      </text>
    </comment>
    <comment ref="B48" authorId="2">
      <text>
        <r>
          <rPr>
            <sz val="11"/>
            <color indexed="8"/>
            <rFont val="Helvetica Neue"/>
          </rPr>
          <t xml:space="preserve">Garland RJ Dahlke:
You may indicate the number of days in a drylot here for feed use/cost estimation.
</t>
        </r>
      </text>
    </comment>
    <comment ref="B49" authorId="2">
      <text>
        <r>
          <rPr>
            <sz val="11"/>
            <color indexed="8"/>
            <rFont val="Helvetica Neue"/>
          </rPr>
          <t xml:space="preserve">Garland RJ Dahlke:
Days - beginning to end for using the selected system above.
</t>
        </r>
      </text>
    </comment>
    <comment ref="B125" authorId="2">
      <text>
        <r>
          <rPr>
            <sz val="11"/>
            <color indexed="8"/>
            <rFont val="Helvetica Neue"/>
          </rPr>
          <t xml:space="preserve">Garland RJ Dahlke:
A drug cost range appears when the system choosen has both an estrus detection step and a fixed time , clean-up AI for nonserviced animals included.  The lower cost would be for those animals that were detected in estrus and did not require the clean-up aspect of the protocol.
</t>
        </r>
      </text>
    </comment>
  </commentList>
</comments>
</file>

<file path=xl/sharedStrings.xml><?xml version="1.0" encoding="utf-8"?>
<sst xmlns="http://schemas.openxmlformats.org/spreadsheetml/2006/main" uniqueCount="550">
  <si>
    <t xml:space="preserve">  Recommended Protocols</t>
  </si>
  <si>
    <t>Beef Reproduction Task Force</t>
  </si>
  <si>
    <t>synch 19</t>
  </si>
  <si>
    <t xml:space="preserve">  Discussion on Protocols</t>
  </si>
  <si>
    <t xml:space="preserve">  Review of Cow Synch Systems</t>
  </si>
  <si>
    <t>For help, comments and suggestions contact:</t>
  </si>
  <si>
    <t xml:space="preserve">  Review of Heifer Synch Systems</t>
  </si>
  <si>
    <t xml:space="preserve">  Estrous Cycle Overview</t>
  </si>
  <si>
    <t xml:space="preserve">  Dr. Garland Dahlke, Iowa State University</t>
  </si>
  <si>
    <r>
      <rPr>
        <u val="single"/>
        <sz val="10"/>
        <color indexed="14"/>
        <rFont val="Arial"/>
      </rPr>
      <t>garland@iastate.edu</t>
    </r>
  </si>
  <si>
    <t xml:space="preserve">  Detecting Estrus</t>
  </si>
  <si>
    <t>or</t>
  </si>
  <si>
    <t xml:space="preserve">  MGA Systems Overview</t>
  </si>
  <si>
    <t xml:space="preserve">  Dr. Sandy Johnson, Kansas State University</t>
  </si>
  <si>
    <r>
      <rPr>
        <u val="single"/>
        <sz val="10"/>
        <color indexed="14"/>
        <rFont val="Arial"/>
      </rPr>
      <t>sandyj@ksu.edu</t>
    </r>
  </si>
  <si>
    <t xml:space="preserve">  CIDR Systems Overview</t>
  </si>
  <si>
    <t xml:space="preserve">  GnRH Systems Overview</t>
  </si>
  <si>
    <t xml:space="preserve">  Tips for Success</t>
  </si>
  <si>
    <t xml:space="preserve">For program updates &amp; supporting documents go to:  </t>
  </si>
  <si>
    <r>
      <rPr>
        <u val="single"/>
        <sz val="10"/>
        <color indexed="14"/>
        <rFont val="Arial"/>
      </rPr>
      <t>www.iowabeefcenter.org/estrussynch.html</t>
    </r>
  </si>
  <si>
    <t xml:space="preserve">  Synchronization Planning   </t>
  </si>
  <si>
    <r>
      <rPr>
        <u val="single"/>
        <sz val="10"/>
        <color indexed="14"/>
        <rFont val="Arial"/>
      </rPr>
      <t>https://beefrepro.unl.edu/</t>
    </r>
  </si>
  <si>
    <t xml:space="preserve">  Synchronization with Natural Service </t>
  </si>
  <si>
    <t>Iowa Beef Center 515 294-BEEF</t>
  </si>
  <si>
    <t>AMDG01182019</t>
  </si>
  <si>
    <t>Preferred System Diagrams</t>
  </si>
  <si>
    <t xml:space="preserve">Proceed to the Planner Worksheet to generate schedules.  </t>
  </si>
  <si>
    <t xml:space="preserve">   #1  1 Injection Prostaglandin (prior estrus detection)</t>
  </si>
  <si>
    <t>Results will appear on the Calendar page.</t>
  </si>
  <si>
    <t xml:space="preserve">   #6  MGA + Prostaglandin </t>
  </si>
  <si>
    <t xml:space="preserve">   #7  Select Synch</t>
  </si>
  <si>
    <t xml:space="preserve">   #14  Select Synch + CIDR</t>
  </si>
  <si>
    <t xml:space="preserve">   #15  7 - Day CIDR+PG</t>
  </si>
  <si>
    <t xml:space="preserve">   #16  Select Synch + CIDR with E-AI and Cleanup AI</t>
  </si>
  <si>
    <t xml:space="preserve">   #19  Select Synch with E-AI and Cleanup AI</t>
  </si>
  <si>
    <t xml:space="preserve">   #22  CO-Synch + CIDR with Fixed-Time AI - 60 (cows)</t>
  </si>
  <si>
    <t xml:space="preserve">   #23  CO-Synch + CIDR with Fixed-Time AI - 54 (heifers)</t>
  </si>
  <si>
    <t xml:space="preserve">   #26  MGA + Prostaglandin with E-AI &amp; Cleanup AI</t>
  </si>
  <si>
    <t xml:space="preserve">   #27  MGA + Prostaglandin with Fixed- Time AI</t>
  </si>
  <si>
    <t xml:space="preserve">   #29  5 - Day CO-Synch + CIDR with Fixed-Time AI (cows)</t>
  </si>
  <si>
    <t xml:space="preserve">   #31  14 - Day CIDR+PG with E-AI and Cleanup AI </t>
  </si>
  <si>
    <t xml:space="preserve">   #32  14 - Day CIDR+PG with Fixed Time AI (heifers)</t>
  </si>
  <si>
    <t xml:space="preserve">   #33  PG 6 - Day CIDR with E-AI and Cleanup AI (cows)</t>
  </si>
  <si>
    <t xml:space="preserve">   #34 PG 6 - Day CIDR with E-AI</t>
  </si>
  <si>
    <t xml:space="preserve">   #35 PG 6 - Day CIDR with Fixed-Time AI</t>
  </si>
  <si>
    <t>Less Preferred System Diagrams</t>
  </si>
  <si>
    <t xml:space="preserve">   #2  1 Injection Prostaglandin (no prior estrus detection)</t>
  </si>
  <si>
    <t xml:space="preserve">   #3  2 Injection Prostaglandin (no prior estrus detection)</t>
  </si>
  <si>
    <t xml:space="preserve">   #10  CO-Synch with Fixed-Time AI</t>
  </si>
  <si>
    <t xml:space="preserve">   #13  Ovsynch</t>
  </si>
  <si>
    <t xml:space="preserve">   #25  7 - Day CIDR+PG with E-AI and Cleanup AI</t>
  </si>
  <si>
    <t xml:space="preserve">   #28  CIDR Select with Fixed- Time AI</t>
  </si>
  <si>
    <t xml:space="preserve">   #30  14 - Day CIDR+PG with E-AI </t>
  </si>
  <si>
    <t xml:space="preserve">   #8  MGA Select</t>
  </si>
  <si>
    <t xml:space="preserve">   #9  MGA Select with E-AI and Cleanup AI</t>
  </si>
  <si>
    <t xml:space="preserve">   #12  7-11 Synch</t>
  </si>
  <si>
    <t xml:space="preserve">   #17  MGA Select with Fixed-Time AI</t>
  </si>
  <si>
    <t xml:space="preserve">   #18  7-11 Synch with Fixed-Time AI</t>
  </si>
  <si>
    <t xml:space="preserve">   #20  7-11 Synch with E-AI and Cleanup AI</t>
  </si>
  <si>
    <t xml:space="preserve">Producer Name:  </t>
  </si>
  <si>
    <t xml:space="preserve">Address:  </t>
  </si>
  <si>
    <t xml:space="preserve">Town:  </t>
  </si>
  <si>
    <t xml:space="preserve">Phone Number:  </t>
  </si>
  <si>
    <t>PG</t>
  </si>
  <si>
    <t>Estrus Synchronization Planner</t>
  </si>
  <si>
    <t xml:space="preserve">Group:  </t>
  </si>
  <si>
    <t>none</t>
  </si>
  <si>
    <t>2cc Estrumate</t>
  </si>
  <si>
    <r>
      <rPr>
        <i val="1"/>
        <sz val="12"/>
        <color indexed="11"/>
        <rFont val="Arial"/>
      </rPr>
      <t>synch 19</t>
    </r>
  </si>
  <si>
    <t xml:space="preserve">Prepared by:  </t>
  </si>
  <si>
    <t>2cc EstroPLAN</t>
  </si>
  <si>
    <t>5cc InSynch</t>
  </si>
  <si>
    <t>Inputs</t>
  </si>
  <si>
    <t>Tips</t>
  </si>
  <si>
    <t>Equivalent Heifer System</t>
  </si>
  <si>
    <t>5cc Lutalyse</t>
  </si>
  <si>
    <t>5cc ProstaMate</t>
  </si>
  <si>
    <t>2cc HiConc.Lut.</t>
  </si>
  <si>
    <t>Suggested Timed AI Breeding</t>
  </si>
  <si>
    <t>Warning, the synch method does not match the recommendation list selections!</t>
  </si>
  <si>
    <t>2cc Synchsure</t>
  </si>
  <si>
    <t>Start Times to Finish Group</t>
  </si>
  <si>
    <t xml:space="preserve">Breed Type: </t>
  </si>
  <si>
    <r>
      <rPr>
        <sz val="9"/>
        <color indexed="11"/>
        <rFont val="Arial"/>
      </rPr>
      <t>1</t>
    </r>
    <r>
      <rPr>
        <sz val="9"/>
        <color indexed="8"/>
        <rFont val="Arial"/>
      </rPr>
      <t xml:space="preserve">=Bos taurus,  </t>
    </r>
    <r>
      <rPr>
        <sz val="9"/>
        <color indexed="11"/>
        <rFont val="Arial"/>
      </rPr>
      <t>2</t>
    </r>
    <r>
      <rPr>
        <sz val="9"/>
        <color indexed="8"/>
        <rFont val="Arial"/>
      </rPr>
      <t>=Bos indicus influence</t>
    </r>
  </si>
  <si>
    <t>Output</t>
  </si>
  <si>
    <r>
      <rPr>
        <sz val="8"/>
        <color indexed="8"/>
        <rFont val="Arial"/>
      </rPr>
      <t>29 = 5 Day CO-Synch+CIDR with Fixed-Time AI 72 +/-2</t>
    </r>
  </si>
  <si>
    <t>System List</t>
  </si>
  <si>
    <t xml:space="preserve">System Type: </t>
  </si>
  <si>
    <r>
      <rPr>
        <sz val="9"/>
        <color indexed="11"/>
        <rFont val="Arial"/>
      </rPr>
      <t>1</t>
    </r>
    <r>
      <rPr>
        <sz val="9"/>
        <color indexed="8"/>
        <rFont val="Arial"/>
      </rPr>
      <t xml:space="preserve">=Estrus AI,  </t>
    </r>
    <r>
      <rPr>
        <sz val="9"/>
        <color indexed="11"/>
        <rFont val="Arial"/>
      </rPr>
      <t>2</t>
    </r>
    <r>
      <rPr>
        <sz val="9"/>
        <color indexed="8"/>
        <rFont val="Arial"/>
      </rPr>
      <t xml:space="preserve">=Estrus AI &amp; Clean-up AI,  </t>
    </r>
    <r>
      <rPr>
        <sz val="9"/>
        <color indexed="11"/>
        <rFont val="Arial"/>
      </rPr>
      <t>3</t>
    </r>
    <r>
      <rPr>
        <sz val="9"/>
        <color indexed="8"/>
        <rFont val="Arial"/>
      </rPr>
      <t>=Fixed-Time AI</t>
    </r>
  </si>
  <si>
    <t>Expected Calving Date:</t>
  </si>
  <si>
    <t>x</t>
  </si>
  <si>
    <t>1 = 1 Injection Prostaglandin (prior estrus detection)</t>
  </si>
  <si>
    <r>
      <rPr>
        <b val="1"/>
        <sz val="11"/>
        <color indexed="8"/>
        <rFont val="Arial"/>
      </rPr>
      <t xml:space="preserve">Synchronization Protocol:  </t>
    </r>
    <r>
      <rPr>
        <sz val="9"/>
        <color indexed="8"/>
        <rFont val="Arial"/>
      </rPr>
      <t xml:space="preserve"> select number from lists below</t>
    </r>
  </si>
  <si>
    <t>CIDR removal:</t>
  </si>
  <si>
    <t>2 = 1 Injection Prostaglandin (no prior estrus detection)</t>
  </si>
  <si>
    <t>Date to start breeding:</t>
  </si>
  <si>
    <t xml:space="preserve">  </t>
  </si>
  <si>
    <t>Trips Through Chute</t>
  </si>
  <si>
    <t>*</t>
  </si>
  <si>
    <t>3 = 2 Injection Prostaglandin (no prior estrus detection)*</t>
  </si>
  <si>
    <t xml:space="preserve">Time of day you want to breed (midpoint Fixed TimeAI): </t>
  </si>
  <si>
    <r>
      <rPr>
        <sz val="11"/>
        <color indexed="8"/>
        <rFont val="Arial"/>
      </rPr>
      <t xml:space="preserve">Head Worked per hour </t>
    </r>
    <r>
      <rPr>
        <sz val="8"/>
        <color indexed="8"/>
        <rFont val="Arial"/>
      </rPr>
      <t>(AI)</t>
    </r>
  </si>
  <si>
    <t>4 = 1 Injection with 2nd Injection to Non-Responders</t>
  </si>
  <si>
    <t xml:space="preserve">GnRH:  </t>
  </si>
  <si>
    <r>
      <rPr>
        <sz val="9"/>
        <color indexed="11"/>
        <rFont val="Arial"/>
      </rPr>
      <t>1</t>
    </r>
    <r>
      <rPr>
        <sz val="9"/>
        <color indexed="8"/>
        <rFont val="Arial"/>
      </rPr>
      <t xml:space="preserve">=Cystorelin, </t>
    </r>
    <r>
      <rPr>
        <sz val="9"/>
        <color indexed="11"/>
        <rFont val="Arial"/>
      </rPr>
      <t>2</t>
    </r>
    <r>
      <rPr>
        <sz val="9"/>
        <color indexed="8"/>
        <rFont val="Arial"/>
      </rPr>
      <t xml:space="preserve">=Factrel, </t>
    </r>
    <r>
      <rPr>
        <sz val="9"/>
        <color indexed="11"/>
        <rFont val="Arial"/>
      </rPr>
      <t>3</t>
    </r>
    <r>
      <rPr>
        <sz val="9"/>
        <color indexed="8"/>
        <rFont val="Arial"/>
      </rPr>
      <t xml:space="preserve">=Fertagyl, </t>
    </r>
    <r>
      <rPr>
        <sz val="9"/>
        <color indexed="11"/>
        <rFont val="Arial"/>
      </rPr>
      <t>4</t>
    </r>
    <r>
      <rPr>
        <sz val="9"/>
        <color indexed="8"/>
        <rFont val="Arial"/>
      </rPr>
      <t xml:space="preserve">=OvaCyst, </t>
    </r>
    <r>
      <rPr>
        <sz val="9"/>
        <color indexed="11"/>
        <rFont val="Arial"/>
      </rPr>
      <t>5</t>
    </r>
    <r>
      <rPr>
        <sz val="9"/>
        <color indexed="8"/>
        <rFont val="Arial"/>
      </rPr>
      <t>=GONAbreed</t>
    </r>
  </si>
  <si>
    <t>Group Size (head)</t>
  </si>
  <si>
    <t>2cc Cystorelin</t>
  </si>
  <si>
    <t>5 = MGA + Prostaglandin (17 day between)</t>
  </si>
  <si>
    <t>PG:</t>
  </si>
  <si>
    <r>
      <rPr>
        <sz val="9"/>
        <color indexed="11"/>
        <rFont val="Arial"/>
      </rPr>
      <t>1</t>
    </r>
    <r>
      <rPr>
        <sz val="9"/>
        <color indexed="8"/>
        <rFont val="Arial"/>
      </rPr>
      <t xml:space="preserve">= Estrumate, </t>
    </r>
    <r>
      <rPr>
        <sz val="9"/>
        <color indexed="11"/>
        <rFont val="Arial"/>
      </rPr>
      <t>2</t>
    </r>
    <r>
      <rPr>
        <sz val="9"/>
        <color indexed="8"/>
        <rFont val="Arial"/>
      </rPr>
      <t xml:space="preserve">= EstroPLAN, </t>
    </r>
    <r>
      <rPr>
        <sz val="9"/>
        <color indexed="11"/>
        <rFont val="Arial"/>
      </rPr>
      <t>3</t>
    </r>
    <r>
      <rPr>
        <sz val="9"/>
        <color indexed="8"/>
        <rFont val="Arial"/>
      </rPr>
      <t xml:space="preserve">= InSynch, </t>
    </r>
    <r>
      <rPr>
        <sz val="9"/>
        <color indexed="11"/>
        <rFont val="Arial"/>
      </rPr>
      <t>4</t>
    </r>
    <r>
      <rPr>
        <sz val="9"/>
        <color indexed="8"/>
        <rFont val="Arial"/>
      </rPr>
      <t xml:space="preserve">=Lutalyse, </t>
    </r>
    <r>
      <rPr>
        <sz val="9"/>
        <color indexed="11"/>
        <rFont val="Arial"/>
      </rPr>
      <t>5</t>
    </r>
    <r>
      <rPr>
        <sz val="9"/>
        <color indexed="8"/>
        <rFont val="Arial"/>
      </rPr>
      <t xml:space="preserve">= ProstaMate, </t>
    </r>
    <r>
      <rPr>
        <sz val="9"/>
        <color indexed="11"/>
        <rFont val="Arial"/>
      </rPr>
      <t>6</t>
    </r>
    <r>
      <rPr>
        <sz val="9"/>
        <color indexed="8"/>
        <rFont val="Arial"/>
      </rPr>
      <t xml:space="preserve">=HiConc.Lut, </t>
    </r>
    <r>
      <rPr>
        <sz val="9"/>
        <color indexed="11"/>
        <rFont val="Arial"/>
      </rPr>
      <t>7</t>
    </r>
    <r>
      <rPr>
        <sz val="9"/>
        <color indexed="8"/>
        <rFont val="Arial"/>
      </rPr>
      <t>=Synchsure</t>
    </r>
  </si>
  <si>
    <t>6 = MGA + Prostaglandin</t>
  </si>
  <si>
    <t>Days from last AI to bull turn in:</t>
  </si>
  <si>
    <t>Cost Comparison</t>
  </si>
  <si>
    <t>7 = Select Synch*</t>
  </si>
  <si>
    <t>Footnote for Calendar Printout:</t>
  </si>
  <si>
    <t>Alternative System 1:</t>
  </si>
  <si>
    <t>8 = MGA Select</t>
  </si>
  <si>
    <t>Alternative System 2:</t>
  </si>
  <si>
    <t>9 = MGA Select with E-AI and Cleanup AI</t>
  </si>
  <si>
    <t>Select number from lists below.</t>
  </si>
  <si>
    <t>10 = CO-Synch with Fixed-Time AI* 48 +/-2</t>
  </si>
  <si>
    <t>Cow / Heifer Equivalent</t>
  </si>
  <si>
    <t>11 = CO Synch - (GnRH + PGF2a + GnRH - 48 hr calf removal)</t>
  </si>
  <si>
    <t>Fixed-Time AI Cow Protocols</t>
  </si>
  <si>
    <r>
      <rPr>
        <i val="1"/>
        <u val="single"/>
        <sz val="10"/>
        <color indexed="14"/>
        <rFont val="Arial"/>
      </rPr>
      <t>See Protocols</t>
    </r>
  </si>
  <si>
    <t>Fixed-Time AI Heifer Protocols</t>
  </si>
  <si>
    <t>12 = 7-11 Synch</t>
  </si>
  <si>
    <r>
      <rPr>
        <b val="1"/>
        <sz val="10"/>
        <color indexed="11"/>
        <rFont val="Arial"/>
      </rPr>
      <t>22 = 7 Day CO-Synch+CIDR with Fixed-Time AI 63 +/-3</t>
    </r>
  </si>
  <si>
    <r>
      <rPr>
        <b val="1"/>
        <sz val="10"/>
        <color indexed="11"/>
        <rFont val="Arial"/>
      </rPr>
      <t>23 = 7 Day CO-Synch+CIDR with Fixed-Time AI 54 +/- 2</t>
    </r>
  </si>
  <si>
    <t>13 = OvSynch*</t>
  </si>
  <si>
    <r>
      <rPr>
        <b val="1"/>
        <sz val="10"/>
        <color indexed="11"/>
        <rFont val="Arial"/>
      </rPr>
      <t>29 = 5 Day CO-Synch+CIDR with Fixed-Time AI 72 +/-2</t>
    </r>
  </si>
  <si>
    <r>
      <rPr>
        <b val="1"/>
        <sz val="10"/>
        <color indexed="11"/>
        <rFont val="Arial"/>
      </rPr>
      <t>27=MGA + PG with Fixed-Time AI 72 +/-2</t>
    </r>
  </si>
  <si>
    <t>c</t>
  </si>
  <si>
    <t>14 = Select Synch + CIDR</t>
  </si>
  <si>
    <r>
      <rPr>
        <b val="1"/>
        <sz val="10"/>
        <color indexed="11"/>
        <rFont val="Arial"/>
      </rPr>
      <t>32=14 Day CIDR+PG with Fixed- Time AI 66 +/-2</t>
    </r>
  </si>
  <si>
    <t>15 = 7-Day CIDR+PG</t>
  </si>
  <si>
    <r>
      <rPr>
        <b val="1"/>
        <sz val="10"/>
        <color indexed="11"/>
        <rFont val="Arial"/>
      </rPr>
      <t>38 = 5 Day CO-Synch+CIDR with Fixed-Time AI 60 +/- 4</t>
    </r>
  </si>
  <si>
    <t>16 = Select Synch + CIDR with E-AI and Cleanup AI</t>
  </si>
  <si>
    <t>Less Preferred Systems</t>
  </si>
  <si>
    <t>17 = MGA Select with Fixed-Time AI</t>
  </si>
  <si>
    <r>
      <rPr>
        <b val="1"/>
        <sz val="10"/>
        <color indexed="11"/>
        <rFont val="Arial"/>
      </rPr>
      <t>10 = CO-Synch with Fixed-Time AI* 48 +/-2</t>
    </r>
  </si>
  <si>
    <r>
      <rPr>
        <b val="1"/>
        <sz val="10"/>
        <color indexed="11"/>
        <rFont val="Arial"/>
      </rPr>
      <t>28=CIDR Select with Fixed-Time AI 72 +/-2</t>
    </r>
  </si>
  <si>
    <t>18 = 7-11 Synch with Fixed-Time AI</t>
  </si>
  <si>
    <r>
      <rPr>
        <b val="1"/>
        <sz val="10"/>
        <color indexed="11"/>
        <rFont val="Arial"/>
      </rPr>
      <t>13 = OvSynch*</t>
    </r>
  </si>
  <si>
    <r>
      <rPr>
        <b val="1"/>
        <sz val="10"/>
        <color indexed="11"/>
        <rFont val="Arial"/>
      </rPr>
      <t>36 = PG 6 Day CIDR with Fixed- Time AI 66 +/- 2</t>
    </r>
  </si>
  <si>
    <t>19 = Select Synch with E-AI and Cleanup AI</t>
  </si>
  <si>
    <r>
      <rPr>
        <b val="1"/>
        <sz val="10"/>
        <color indexed="11"/>
        <rFont val="Arial"/>
      </rPr>
      <t>35 = PG 6 Day CIDR with Fixed- Time AI 69 +/-3</t>
    </r>
  </si>
  <si>
    <t>20 = 7-11 Synch with E-AI and Cleanup AI</t>
  </si>
  <si>
    <t>21 = CO-Synch with E-AI and Cleanup AI</t>
  </si>
  <si>
    <t>22 = 7 Day CO-Synch+CIDR with Fixed-Time AI 63 +/-3</t>
  </si>
  <si>
    <t>23 = 7 Day CO-Synch+CIDR with Fixed-Time AI 54 +/- 2</t>
  </si>
  <si>
    <t>24 = CO-Synch + CIDR with E-AI and Cleanup AI</t>
  </si>
  <si>
    <t>note</t>
  </si>
  <si>
    <t>25 = 7 Day CIDR+PG with  E-AI and Cleanup AI</t>
  </si>
  <si>
    <t xml:space="preserve"> </t>
  </si>
  <si>
    <t>26= MGA + PG with E-AI and Cleanup AI</t>
  </si>
  <si>
    <t>Daily Lbs./Hd.</t>
  </si>
  <si>
    <t>Cost / Lb</t>
  </si>
  <si>
    <t>27=MGA + PG with Fixed-Time AI 72 +/-2</t>
  </si>
  <si>
    <t xml:space="preserve">Head in group:  </t>
  </si>
  <si>
    <t xml:space="preserve">Forage:  </t>
  </si>
  <si>
    <r>
      <rPr>
        <b val="1"/>
        <sz val="11"/>
        <color indexed="8"/>
        <rFont val="Arial"/>
      </rPr>
      <t>2cc Estrumate ($/dose):</t>
    </r>
  </si>
  <si>
    <t>28=CIDR Select with Fixed-Time AI 72 +/-2</t>
  </si>
  <si>
    <t xml:space="preserve">Labor Estimate: </t>
  </si>
  <si>
    <t>hours</t>
  </si>
  <si>
    <t xml:space="preserve">Grain:  </t>
  </si>
  <si>
    <r>
      <rPr>
        <b val="1"/>
        <sz val="11"/>
        <color indexed="8"/>
        <rFont val="Arial"/>
      </rPr>
      <t>2cc Cystorelin ($/dose):</t>
    </r>
  </si>
  <si>
    <t>29 = 5 Day CO-Synch+CIDR with Fixed-Time AI 72 +/-2</t>
  </si>
  <si>
    <t xml:space="preserve">Labor Charge: </t>
  </si>
  <si>
    <t>$/hour</t>
  </si>
  <si>
    <t>MGA:</t>
  </si>
  <si>
    <t xml:space="preserve">CIDR ($/insert):  </t>
  </si>
  <si>
    <t>30=14 Day CIDR+PG with E-AI</t>
  </si>
  <si>
    <t xml:space="preserve">Yardage: </t>
  </si>
  <si>
    <t>$/hd/day</t>
  </si>
  <si>
    <t>Supplement:</t>
  </si>
  <si>
    <t xml:space="preserve">Semen ($/unit):  </t>
  </si>
  <si>
    <t>31=14 Day CIDR+PG with E-AI and Cleanup AI</t>
  </si>
  <si>
    <t>User Defined Charges:</t>
  </si>
  <si>
    <t>32=14 Day CIDR+PG with Fixed- Time AI 66 +/-2</t>
  </si>
  <si>
    <t>MGA Days:</t>
  </si>
  <si>
    <t>Name of Item:</t>
  </si>
  <si>
    <t>ultrasound</t>
  </si>
  <si>
    <t>No.Units</t>
  </si>
  <si>
    <t>Cost - $/Unit:</t>
  </si>
  <si>
    <t xml:space="preserve">33 = PG 6 Day CIDR with E-AI and Cleanup AI </t>
  </si>
  <si>
    <t>Drylot Days:</t>
  </si>
  <si>
    <t>patches</t>
  </si>
  <si>
    <t xml:space="preserve">34 = PG 6 Day CIDR with E-AI </t>
  </si>
  <si>
    <t>Days for System:</t>
  </si>
  <si>
    <t>35 = PG 6 Day CIDR with Fixed- Time AI 69 +/-3</t>
  </si>
  <si>
    <t>36 = PG 6 Day CIDR with Fixed- Time AI 66 +/- 2</t>
  </si>
  <si>
    <t xml:space="preserve"> System:</t>
  </si>
  <si>
    <r>
      <rPr>
        <b val="1"/>
        <sz val="14"/>
        <color indexed="12"/>
        <rFont val="Arial"/>
      </rPr>
      <t>29 = 5 Day CO-Synch+CIDR with Fixed-Time AI 72 +/-2</t>
    </r>
  </si>
  <si>
    <t>37 =PG 5 Day CO-Synch+CIDR with Fixed-Time AI 66 +/-2</t>
  </si>
  <si>
    <t>Comments</t>
  </si>
  <si>
    <t>38 = 5 Day CO-Synch+CIDR with Fixed-Time AI 60 +/- 4</t>
  </si>
  <si>
    <t>This system works well in cows.  No estrus detection required.</t>
  </si>
  <si>
    <t>Fixed time AI can be done at 72 (+/- 2) hrs. after 1st PG injection.</t>
  </si>
  <si>
    <t>All females require a GnRH injection at fixed-time AI.</t>
  </si>
  <si>
    <t>This system can initiate estrous cycles in some noncycling females.</t>
  </si>
  <si>
    <t>Expect lower fertility in cows less than 50 days postpartum at time of PG injection.</t>
  </si>
  <si>
    <t>Two full doses of PG at least 6 hours appart are critical for success</t>
  </si>
  <si>
    <t xml:space="preserve">Immediate addition of clean-up bulls could lead to questions about parentage. </t>
  </si>
  <si>
    <t>Date of Activity</t>
  </si>
  <si>
    <t>Day of the Week</t>
  </si>
  <si>
    <t>Activity</t>
  </si>
  <si>
    <t xml:space="preserve">    Description of Activity</t>
  </si>
  <si>
    <t>Sunday</t>
  </si>
  <si>
    <t>Insert one CIDR device in each female.</t>
  </si>
  <si>
    <r>
      <rPr>
        <sz val="11"/>
        <color indexed="8"/>
        <rFont val="Arial"/>
      </rPr>
      <t>Inject 2cc Cystorelin (GnRH) to all females.</t>
    </r>
  </si>
  <si>
    <t>Friday</t>
  </si>
  <si>
    <t>Remove the CIDR device from each female.</t>
  </si>
  <si>
    <r>
      <rPr>
        <sz val="11"/>
        <color indexed="8"/>
        <rFont val="Arial"/>
      </rPr>
      <t xml:space="preserve">Inject 2cc Estrumate (PG) to all females at: </t>
    </r>
  </si>
  <si>
    <t>Inject 2nd dose of Prostaglandin (PG) 8 hours (+/- 2 hrs) after 1st PG injection.</t>
  </si>
  <si>
    <t>Monday</t>
  </si>
  <si>
    <t>Breed all females at time of GnRH injection between:</t>
  </si>
  <si>
    <t>Turn clean up bulls in with females.</t>
  </si>
  <si>
    <t>New Cycle</t>
  </si>
  <si>
    <t>System Cost Comparison:</t>
  </si>
  <si>
    <r>
      <rPr>
        <sz val="10"/>
        <color indexed="12"/>
        <rFont val="Arial"/>
      </rPr>
      <t>29 = 5 Day CO-Synch+CIDR with Fixed-Time AI 72 +/-2</t>
    </r>
  </si>
  <si>
    <t>Cost Analysis:</t>
  </si>
  <si>
    <t>Units</t>
  </si>
  <si>
    <t>Cost/Unit</t>
  </si>
  <si>
    <t>Total Cost</t>
  </si>
  <si>
    <r>
      <rPr>
        <sz val="10"/>
        <color indexed="8"/>
        <rFont val="Arial"/>
      </rPr>
      <t>2cc Estrumate Cost</t>
    </r>
  </si>
  <si>
    <r>
      <rPr>
        <sz val="10"/>
        <color indexed="8"/>
        <rFont val="Arial"/>
      </rPr>
      <t>2cc Cystorelin Cost</t>
    </r>
  </si>
  <si>
    <t>MGA Supplement</t>
  </si>
  <si>
    <t>CIDR Cost</t>
  </si>
  <si>
    <t>Synchroniaztion Cost Subtotal</t>
  </si>
  <si>
    <t>Detect/Mgt.Labor</t>
  </si>
  <si>
    <t>Semen</t>
  </si>
  <si>
    <r>
      <rPr>
        <sz val="10"/>
        <color indexed="8"/>
        <rFont val="Arial"/>
      </rPr>
      <t>ultrasound</t>
    </r>
  </si>
  <si>
    <r>
      <rPr>
        <sz val="10"/>
        <color indexed="8"/>
        <rFont val="Arial"/>
      </rPr>
      <t>patches</t>
    </r>
  </si>
  <si>
    <t>AI Cost Subtotal</t>
  </si>
  <si>
    <t>Total Cost (not including feed &amp; yardage)</t>
  </si>
  <si>
    <t>Cost / Female Synchronized</t>
  </si>
  <si>
    <t>Drylot Costs:**</t>
  </si>
  <si>
    <t>Days in Drylot</t>
  </si>
  <si>
    <t>Forage (units = lbs)</t>
  </si>
  <si>
    <t>Grain (units = lbs)</t>
  </si>
  <si>
    <t>Yardage (units = hd-days)</t>
  </si>
  <si>
    <t>Other Supplement (units = lbs)</t>
  </si>
  <si>
    <t>Feed &amp; Yardage Cost Subtotal</t>
  </si>
  <si>
    <t>Drylot Cost per Head per Day</t>
  </si>
  <si>
    <t>Total Cost / Female Synchronized</t>
  </si>
  <si>
    <t>Cost - Response Analysis:</t>
  </si>
  <si>
    <r>
      <rPr>
        <sz val="14"/>
        <color indexed="12"/>
        <rFont val="Arial"/>
      </rPr>
      <t>29 = 5 Day CO-Synch+CIDR with Fixed-Time AI 72 +/-2</t>
    </r>
  </si>
  <si>
    <t>Estrous Response</t>
  </si>
  <si>
    <t>Conception Rate of those Responding to Synchronization</t>
  </si>
  <si>
    <t>Rate</t>
  </si>
  <si>
    <t>% AI Pregnant</t>
  </si>
  <si>
    <t>$ per Synch AI Pregnancy</t>
  </si>
  <si>
    <t>Excludes Yardage+Feed =</t>
  </si>
  <si>
    <t>per head.</t>
  </si>
  <si>
    <t>Days</t>
  </si>
  <si>
    <t>Synchronization System Activity</t>
  </si>
  <si>
    <t>Start heat detection.</t>
  </si>
  <si>
    <t>Breed females AI 10-14 hours after standing heat.</t>
  </si>
  <si>
    <t xml:space="preserve">Animal must be cycling (CL present) &amp; between day 5 - 17 after estrus to respond to each PG injection.  </t>
  </si>
  <si>
    <t>This program will not work if animal is anestrous or prepubertal.</t>
  </si>
  <si>
    <t>If all animals are cycling, expect 20 - 25% to show heat prior to PG injection.</t>
  </si>
  <si>
    <t>Interval from PG to estrus variable, but most animals will exhibit estrus 36 - 96 hrs after PG injection.</t>
  </si>
  <si>
    <t>Low estrus detection rates and the proportion of females cycling often limit pregnancy rates.</t>
  </si>
  <si>
    <t>A low cost, low risk sytem but also low synchrony.</t>
  </si>
  <si>
    <t>Use with cycling animals.</t>
  </si>
  <si>
    <t>Expect all females injected with PG to be in heat within the next 144 hours (6 days).</t>
  </si>
  <si>
    <t>Detect heat prior to Prostaglandin (PG) injection and breed 10-14 hours later.</t>
  </si>
  <si>
    <r>
      <rPr>
        <b val="1"/>
        <sz val="10"/>
        <color indexed="8"/>
        <rFont val="Arial"/>
      </rPr>
      <t xml:space="preserve">Inject </t>
    </r>
    <r>
      <rPr>
        <i val="1"/>
        <sz val="8"/>
        <color indexed="8"/>
        <rFont val="Arial"/>
      </rPr>
      <t>2cc Estrumate</t>
    </r>
    <r>
      <rPr>
        <b val="1"/>
        <sz val="10"/>
        <color indexed="8"/>
        <rFont val="Arial"/>
      </rPr>
      <t xml:space="preserve"> (PG) to all females not detected in heat.</t>
    </r>
  </si>
  <si>
    <r>
      <rPr>
        <b val="1"/>
        <sz val="10"/>
        <color indexed="8"/>
        <rFont val="Arial"/>
      </rPr>
      <t xml:space="preserve">* </t>
    </r>
    <r>
      <rPr>
        <i val="1"/>
        <sz val="8"/>
        <color indexed="8"/>
        <rFont val="Arial"/>
      </rPr>
      <t>2cc Estrumate</t>
    </r>
    <r>
      <rPr>
        <b val="1"/>
        <sz val="10"/>
        <color indexed="8"/>
        <rFont val="Arial"/>
      </rPr>
      <t xml:space="preserve"> injection to females not already in heat &amp; bred</t>
    </r>
  </si>
  <si>
    <t>If all animals are cycling, expect no more than 70 - 75% to exhibit estrus.</t>
  </si>
  <si>
    <t>Expect 80% of females to be in heat within 5 days, responding from PG injection or natural cyclicity.</t>
  </si>
  <si>
    <t>Continue heat detection.</t>
  </si>
  <si>
    <t>If all animals are cycling, the majority should respond to second PG injection.</t>
  </si>
  <si>
    <t>Interval between PG injections could range from 11 to 14 days, however 14 days provides best results.</t>
  </si>
  <si>
    <t>11 day (264 hr.) interval between PG injections.</t>
  </si>
  <si>
    <t>Last day of heat detection.</t>
  </si>
  <si>
    <t>Breed females AI 10-14 hours later if showing standing heat.</t>
  </si>
  <si>
    <t>Compared to System 1, higher cost, more labor, greater animal handling &amp; will result in lower pregnancy rates.</t>
  </si>
  <si>
    <t xml:space="preserve">Animal must be cycling (CL present) &amp; between day 5 - 17 after estrus to respond.  </t>
  </si>
  <si>
    <t>Expect no more than 70 - 75% to exhibit estrus after first PG injection &amp; 25 - 30% after second.</t>
  </si>
  <si>
    <t>Expect 81% of females to be in heat during 1st 6 days in response to 1st PG injection or natural cyclicity.</t>
  </si>
  <si>
    <t>Expect 19% of females to be in heat during last 6 days due to response of 2nd PG injection.</t>
  </si>
  <si>
    <t>* Turn in Bull Power</t>
  </si>
  <si>
    <t>System 6 is prefered over system 5.</t>
  </si>
  <si>
    <t>Recommended for yearling virgin heifers.  Expect heats to be spread out for females nursing calves.</t>
  </si>
  <si>
    <t>Recommended that cattle be maintained in drylot from MGA start until clean up bulls added.</t>
  </si>
  <si>
    <t>Provide a minimum of 12 in. bunk space if MGA mixed in TMR, 18 in. if mixed only with grain.</t>
  </si>
  <si>
    <t>Requires active corpus luteum in female to work.</t>
  </si>
  <si>
    <t>* new cycle</t>
  </si>
  <si>
    <t>This system is highly recommended for heifers and works effectively in postpartum cows.</t>
  </si>
  <si>
    <t>Estrus detection should begin at the time of PG administration.</t>
  </si>
  <si>
    <t>Majority will exhibit estrus between 48 and 96 hours after PG.</t>
  </si>
  <si>
    <t>Daily intake during MGA feeding is critical, may require drylot feeding.</t>
  </si>
  <si>
    <t>Deliver MGA in either a well mixed ration or a supplement with not less than 3-5 lbs fed per head per day.</t>
  </si>
  <si>
    <t>For either MGA feeding methodology provide adequate bunk space(12 in. for TMR, 18 in. for MGA + grain only).</t>
  </si>
  <si>
    <t>Heifers or cows that fail to respond and show estrus to PG may be re-injected with PG 11 to 14 days later.</t>
  </si>
  <si>
    <t>Provide a minimum of 12 in. bunk space if MGA mixed in TMR, 18 in if mixed only with grain.</t>
  </si>
  <si>
    <t>Estrus generally begins the 1-2 days before PG injection; however, peak estrus is 36 - 72 hours after PG.</t>
  </si>
  <si>
    <t>Excellent estrus detection is critical for success.</t>
  </si>
  <si>
    <t>Even in 100% cyclic cows, not all will respond to PG.</t>
  </si>
  <si>
    <t>Recommended for cows.  Expect poorer results in heifers due to ovarian inactivity.</t>
  </si>
  <si>
    <t>May inniate cycling in anestrous animal.</t>
  </si>
  <si>
    <t>Continue estrus detection for 5 days after PG</t>
  </si>
  <si>
    <t>Recommended for beef cows.</t>
  </si>
  <si>
    <t>Majority of cows will exhibit estrus between 48 and 96 hours after PG.</t>
  </si>
  <si>
    <t>Peak estrous response can be expected at 60 to 72 hours after PG</t>
  </si>
  <si>
    <t>Cleanup AI may be performed from 72 - 84 hours after PG with GnRH injected at AI.</t>
  </si>
  <si>
    <t>Works well in cycling cows in good body condition.</t>
  </si>
  <si>
    <t>This system is too risky for use in heifers.</t>
  </si>
  <si>
    <t>Low responses occur if large proportions exhibit estrus prior to PG injection.</t>
  </si>
  <si>
    <t>5-10% of females may come into heat prior to PG injection, thus they won't respond to 2nd GnRH injection.</t>
  </si>
  <si>
    <t>Calf removal creates some problems.</t>
  </si>
  <si>
    <t>Calves should be removed for 46-50 hours.</t>
  </si>
  <si>
    <t>With calf removal, pregrancy rate is expected to improve 5-10%.</t>
  </si>
  <si>
    <t>5-10% of females may come into heat prior to PG injection.</t>
  </si>
  <si>
    <t>Estrus detection should begin at the time of 2nd PG administration.</t>
  </si>
  <si>
    <t>Majority of cows will exhibit estrus between 48 - 96 hours after 2nd PG.</t>
  </si>
  <si>
    <t>Peak estrous response can be expected at 48 to 60 hours after PG</t>
  </si>
  <si>
    <t>Recommended for mature cows.  Expect poorer results for virgin heifers.</t>
  </si>
  <si>
    <t>Works better in situations where animals are confined to stalls.</t>
  </si>
  <si>
    <t>Do not expect AI pregnancy rates greater than a CO-Synch program</t>
  </si>
  <si>
    <t>This system works well in heifers &amp; cows.</t>
  </si>
  <si>
    <t>Estrus detection should begin at time of PG injection and continue 5 days.</t>
  </si>
  <si>
    <t>Majority of animals will exhibit estrus between 36 - 84 hours after PG.</t>
  </si>
  <si>
    <t>Animals that fail to respond &amp; show estrus to PG may be re-injected with PG 11 - 14 days later.</t>
  </si>
  <si>
    <t>System works well in heifers &amp; cows. Clean-up AI increases pregnancy rate 10-15% compared to 3 days E-AI.</t>
  </si>
  <si>
    <t>Estrus detection should begin at time of PG injection and continue until clean-up AI at 72 - 84 hours</t>
  </si>
  <si>
    <t xml:space="preserve">Females not detected in estrus require a GnRH injection at clean-up AI. </t>
  </si>
  <si>
    <t>Be sure heifer’s age, weight and pubertal status as determined by reproductive tract score are adequate.</t>
  </si>
  <si>
    <t>Cows in this system should average over 40 days postpartum at time MGA feeding begins.</t>
  </si>
  <si>
    <t>Fixed-time AI should be performed at 72 hours after PG with GnRH administered at the time of AI.</t>
  </si>
  <si>
    <t>Cows in this system should average over 50 days postpartum at time MGA feeding begins.</t>
  </si>
  <si>
    <t>Fixed-time AI should be performed at 60 hours after PG with GnRH administered at the time of AI.</t>
  </si>
  <si>
    <r>
      <rPr>
        <b val="1"/>
        <sz val="10"/>
        <color indexed="8"/>
        <rFont val="Arial"/>
      </rPr>
      <t xml:space="preserve">Inject </t>
    </r>
    <r>
      <rPr>
        <i val="1"/>
        <sz val="8"/>
        <color indexed="8"/>
        <rFont val="Arial"/>
      </rPr>
      <t>2cc Estrumate</t>
    </r>
    <r>
      <rPr>
        <b val="1"/>
        <sz val="10"/>
        <color indexed="8"/>
        <rFont val="Arial"/>
      </rPr>
      <t xml:space="preserve"> (PG) to all females.</t>
    </r>
  </si>
  <si>
    <r>
      <rPr>
        <b val="1"/>
        <sz val="10"/>
        <color indexed="8"/>
        <rFont val="Arial"/>
      </rPr>
      <t xml:space="preserve">* Inject </t>
    </r>
    <r>
      <rPr>
        <i val="1"/>
        <sz val="8"/>
        <color indexed="8"/>
        <rFont val="Arial"/>
      </rPr>
      <t>2cc Estrumate</t>
    </r>
    <r>
      <rPr>
        <b val="1"/>
        <sz val="10"/>
        <color indexed="8"/>
        <rFont val="Arial"/>
      </rPr>
      <t>- all females</t>
    </r>
  </si>
  <si>
    <t>Estrus generally begins 1-2 days before PG injection.</t>
  </si>
  <si>
    <t>Not recommended for heifers.</t>
  </si>
  <si>
    <t>Peak estrous response can be expected at 60 – 72 hours after 2nd PG injection.</t>
  </si>
  <si>
    <t>Cleanup AI may be performed from 72 - 84 hours after 2nd PG with GnRH injected at AI.</t>
  </si>
  <si>
    <t>Fixed AI can be done at 60 to 66 hrs post PG injection. Interval shown is 63 hrs.</t>
  </si>
  <si>
    <t>If targeting 60 hr interval, remove CIDR as early as possible in the morning and AI as late as possible in evening  --</t>
  </si>
  <si>
    <t xml:space="preserve">   2.5 days days later (7am Mon, pull CIDR; 7 pm Wed evening AI).</t>
  </si>
  <si>
    <t>A reliable fixed-time AI system for heifers.</t>
  </si>
  <si>
    <t>No estrus detection required.</t>
  </si>
  <si>
    <t>Fixed time AI can be done between 52 and 56 hours post PG injection.</t>
  </si>
  <si>
    <t>This system works well in heifers &amp; cows.  Clean-up AI increases pregnancy rate 10 - 15%.</t>
  </si>
  <si>
    <t>Majority will exhibit estrus between 48 - 96 hours after PG.</t>
  </si>
  <si>
    <t>Cleanup AI performed from 72 - 84 hours after PG if more than 50% of heifers have been detected after 72 hours.</t>
  </si>
  <si>
    <t>This system of fixed- time AI can be used in well developed heifers.</t>
  </si>
  <si>
    <t>Pregnancy rates to fixed timed AI rarely exceed 52% with this system.</t>
  </si>
  <si>
    <r>
      <rPr>
        <b val="1"/>
        <sz val="10"/>
        <color indexed="8"/>
        <rFont val="Arial"/>
      </rPr>
      <t xml:space="preserve">* Inject </t>
    </r>
    <r>
      <rPr>
        <i val="1"/>
        <sz val="8"/>
        <color indexed="8"/>
        <rFont val="Arial"/>
      </rPr>
      <t>2cc Estrumate</t>
    </r>
    <r>
      <rPr>
        <b val="1"/>
        <sz val="10"/>
        <color indexed="8"/>
        <rFont val="Arial"/>
      </rPr>
      <t xml:space="preserve"> to females not in heat</t>
    </r>
  </si>
  <si>
    <t>A reliable fixed-time AI system for heifers, but requires many times through the working facility.</t>
  </si>
  <si>
    <t>No estrus detection required, however, drug treatment costs are a disadvantage.</t>
  </si>
  <si>
    <t>Fixed time AI can be done 72 hours post PG injection.</t>
  </si>
  <si>
    <t>All females require 2 GnRH injections.</t>
  </si>
  <si>
    <t>Peak heat at 60 - 72 hours after PG.</t>
  </si>
  <si>
    <t>* Peak Estrus</t>
  </si>
  <si>
    <r>
      <rPr>
        <b val="1"/>
        <sz val="10"/>
        <color indexed="8"/>
        <rFont val="Arial"/>
      </rPr>
      <t xml:space="preserve">* Inject </t>
    </r>
    <r>
      <rPr>
        <i val="1"/>
        <sz val="8"/>
        <color indexed="8"/>
        <rFont val="Arial"/>
      </rPr>
      <t>2cc Estrumate</t>
    </r>
    <r>
      <rPr>
        <b val="1"/>
        <sz val="10"/>
        <color indexed="8"/>
        <rFont val="Arial"/>
      </rPr>
      <t xml:space="preserve"> to females not in heat/bred</t>
    </r>
  </si>
  <si>
    <t>No estrus detection required, however, 4 trips through working facility are needed.</t>
  </si>
  <si>
    <t>Fixed time AI can be done 66 hours post PG injection.</t>
  </si>
  <si>
    <t>Estrus detection should begin at the time of first PG administration.</t>
  </si>
  <si>
    <t>Estrus detection can resume at the time of 2nd PG injection.</t>
  </si>
  <si>
    <t>Cleanup AI may be performed from 72-84 hours after 2nd PG with GnRH injected at AI (cows &amp; heifers).</t>
  </si>
  <si>
    <t>Low response after first PG indicates low proportion of cows cycling &amp; a probable lower response to CIDR.</t>
  </si>
  <si>
    <t xml:space="preserve">Cost analysis was done estimating 30% bred after initial PG injection, 50% bred after 2nd PG &amp; 20% bred with Clean-up- AI. </t>
  </si>
  <si>
    <t xml:space="preserve">Cost analysis was done estimating 30% bred after initial PG injection. </t>
  </si>
  <si>
    <t>This system works well in cows.</t>
  </si>
  <si>
    <t>Fixed time AI can be done at 66 to 72 hrs. post PG injection.</t>
  </si>
  <si>
    <t>This system works well in heifers.</t>
  </si>
  <si>
    <t>Fixed time AI can be done at 64 to 68 hrs. post PG injection.</t>
  </si>
  <si>
    <t>Start feeding Melengestrol Acetate (MGA) at .5 mg/hd/day.</t>
  </si>
  <si>
    <t>This system works in cows and heifers.  No estrus detection required.</t>
  </si>
  <si>
    <t>Fixed time AI can be done at 66 (+/- 2) hrs. after 1st PG injection.</t>
  </si>
  <si>
    <t>Last day to feed MGA at .5 mg/hd/day.</t>
  </si>
  <si>
    <t>Fixed time AI can be done at 60 (+/- 4) hrs. after 1st PG injection.</t>
  </si>
  <si>
    <t>Be sure heifer's age, weight and pubertal status as determined by reproductive tract score are adequate.</t>
  </si>
  <si>
    <t>Large numbers of females will show heat the next 4 days - DO NOT BREED!</t>
  </si>
  <si>
    <t>* Many females in heat next 4 days. DO NOT BREED!</t>
  </si>
  <si>
    <r>
      <rPr>
        <b val="1"/>
        <sz val="10"/>
        <color indexed="8"/>
        <rFont val="Arial"/>
      </rPr>
      <t xml:space="preserve">* inject </t>
    </r>
    <r>
      <rPr>
        <i val="1"/>
        <sz val="8"/>
        <color indexed="8"/>
        <rFont val="Arial"/>
      </rPr>
      <t>2cc Estrumate</t>
    </r>
    <r>
      <rPr>
        <b val="1"/>
        <sz val="10"/>
        <color indexed="8"/>
        <rFont val="Arial"/>
      </rPr>
      <t>- all females</t>
    </r>
  </si>
  <si>
    <t>Open females - observe estrus over next 5 days</t>
  </si>
  <si>
    <t>* Observe for estrus over next 5 days</t>
  </si>
  <si>
    <r>
      <rPr>
        <b val="1"/>
        <sz val="10"/>
        <color indexed="8"/>
        <rFont val="Arial"/>
      </rPr>
      <t xml:space="preserve">Inject </t>
    </r>
    <r>
      <rPr>
        <i val="1"/>
        <sz val="8"/>
        <color indexed="8"/>
        <rFont val="Arial"/>
      </rPr>
      <t>2cc Cystorelin</t>
    </r>
    <r>
      <rPr>
        <b val="1"/>
        <sz val="10"/>
        <color indexed="8"/>
        <rFont val="Arial"/>
      </rPr>
      <t xml:space="preserve"> (GnRH) to all females.</t>
    </r>
  </si>
  <si>
    <r>
      <rPr>
        <b val="1"/>
        <sz val="10"/>
        <color indexed="8"/>
        <rFont val="Arial"/>
      </rPr>
      <t xml:space="preserve">* Inject </t>
    </r>
    <r>
      <rPr>
        <i val="1"/>
        <sz val="8"/>
        <color indexed="8"/>
        <rFont val="Arial"/>
      </rPr>
      <t>2cc Cystorelin</t>
    </r>
    <r>
      <rPr>
        <b val="1"/>
        <sz val="10"/>
        <color indexed="8"/>
        <rFont val="Arial"/>
      </rPr>
      <t xml:space="preserve"> to all females</t>
    </r>
  </si>
  <si>
    <r>
      <rPr>
        <b val="1"/>
        <sz val="10"/>
        <color indexed="8"/>
        <rFont val="Arial"/>
      </rPr>
      <t xml:space="preserve">* inject </t>
    </r>
    <r>
      <rPr>
        <i val="1"/>
        <sz val="8"/>
        <color indexed="8"/>
        <rFont val="Arial"/>
      </rPr>
      <t>2cc Estrumate</t>
    </r>
    <r>
      <rPr>
        <b val="1"/>
        <sz val="10"/>
        <color indexed="8"/>
        <rFont val="Arial"/>
      </rPr>
      <t xml:space="preserve"> to females not in heat/bred</t>
    </r>
  </si>
  <si>
    <t>Peak heat at 36 - 72 hours after PG.</t>
  </si>
  <si>
    <r>
      <rPr>
        <b val="1"/>
        <sz val="10"/>
        <color indexed="8"/>
        <rFont val="Arial"/>
      </rPr>
      <t xml:space="preserve">Inject </t>
    </r>
    <r>
      <rPr>
        <i val="1"/>
        <sz val="8"/>
        <color indexed="8"/>
        <rFont val="Arial"/>
      </rPr>
      <t>2cc Estrumate</t>
    </r>
    <r>
      <rPr>
        <b val="1"/>
        <sz val="10"/>
        <color indexed="8"/>
        <rFont val="Arial"/>
      </rPr>
      <t xml:space="preserve"> (PG) to all females at: </t>
    </r>
  </si>
  <si>
    <r>
      <rPr>
        <b val="1"/>
        <sz val="10"/>
        <color indexed="8"/>
        <rFont val="Arial"/>
      </rPr>
      <t xml:space="preserve">For females not detected in heat, inject </t>
    </r>
    <r>
      <rPr>
        <i val="1"/>
        <sz val="8"/>
        <color indexed="8"/>
        <rFont val="Arial"/>
      </rPr>
      <t>2cc Cystorelin</t>
    </r>
    <r>
      <rPr>
        <b val="1"/>
        <sz val="10"/>
        <color indexed="8"/>
        <rFont val="Arial"/>
      </rPr>
      <t xml:space="preserve"> (GnRH) &amp; inseminate between the hours:</t>
    </r>
  </si>
  <si>
    <r>
      <rPr>
        <b val="1"/>
        <sz val="10"/>
        <color indexed="8"/>
        <rFont val="Arial"/>
      </rPr>
      <t xml:space="preserve">** Inject </t>
    </r>
    <r>
      <rPr>
        <i val="1"/>
        <sz val="8"/>
        <color indexed="8"/>
        <rFont val="Arial"/>
      </rPr>
      <t>2cc Cystorelin</t>
    </r>
    <r>
      <rPr>
        <b val="1"/>
        <sz val="10"/>
        <color indexed="8"/>
        <rFont val="Arial"/>
      </rPr>
      <t xml:space="preserve"> &amp; Clean-up AI (72-84 hrs after </t>
    </r>
    <r>
      <rPr>
        <i val="1"/>
        <sz val="8"/>
        <color indexed="8"/>
        <rFont val="Arial"/>
      </rPr>
      <t>2cc Estrumate</t>
    </r>
    <r>
      <rPr>
        <b val="1"/>
        <sz val="10"/>
        <color indexed="8"/>
        <rFont val="Arial"/>
      </rPr>
      <t xml:space="preserve"> )</t>
    </r>
  </si>
  <si>
    <r>
      <rPr>
        <b val="1"/>
        <sz val="10"/>
        <color indexed="8"/>
        <rFont val="Arial"/>
      </rPr>
      <t xml:space="preserve">Inject </t>
    </r>
    <r>
      <rPr>
        <i val="1"/>
        <sz val="8"/>
        <color indexed="8"/>
        <rFont val="Arial"/>
      </rPr>
      <t>2cc Cystorelin</t>
    </r>
    <r>
      <rPr>
        <b val="1"/>
        <sz val="10"/>
        <color indexed="8"/>
        <rFont val="Arial"/>
      </rPr>
      <t xml:space="preserve"> (GnRH) to all females </t>
    </r>
  </si>
  <si>
    <r>
      <rPr>
        <b val="1"/>
        <sz val="10"/>
        <color indexed="8"/>
        <rFont val="Arial"/>
      </rPr>
      <t xml:space="preserve">** Inject </t>
    </r>
    <r>
      <rPr>
        <i val="1"/>
        <sz val="8"/>
        <color indexed="8"/>
        <rFont val="Arial"/>
      </rPr>
      <t>2cc Cystorelin</t>
    </r>
    <r>
      <rPr>
        <b val="1"/>
        <sz val="10"/>
        <color indexed="8"/>
        <rFont val="Arial"/>
      </rPr>
      <t xml:space="preserve"> &amp; Fixed Time AI (48 hrs after </t>
    </r>
    <r>
      <rPr>
        <i val="1"/>
        <sz val="8"/>
        <color indexed="8"/>
        <rFont val="Arial"/>
      </rPr>
      <t>2cc Estrumate</t>
    </r>
    <r>
      <rPr>
        <b val="1"/>
        <sz val="10"/>
        <color indexed="8"/>
        <rFont val="Arial"/>
      </rPr>
      <t xml:space="preserve"> )</t>
    </r>
  </si>
  <si>
    <t>Remove calves from cows and pen seperately.</t>
  </si>
  <si>
    <t>** Fixed Time AI w/ GnRH injection 48 hrs following PG</t>
  </si>
  <si>
    <t>Peak heat at 48 - 60 hours after PG.</t>
  </si>
  <si>
    <r>
      <rPr>
        <b val="1"/>
        <sz val="10"/>
        <color indexed="8"/>
        <rFont val="Arial"/>
      </rPr>
      <t xml:space="preserve">Inject </t>
    </r>
    <r>
      <rPr>
        <i val="1"/>
        <sz val="8"/>
        <color indexed="8"/>
        <rFont val="Arial"/>
      </rPr>
      <t>2cc Cystorelin</t>
    </r>
    <r>
      <rPr>
        <b val="1"/>
        <sz val="10"/>
        <color indexed="8"/>
        <rFont val="Arial"/>
      </rPr>
      <t xml:space="preserve"> (GnRH) to all females at: </t>
    </r>
  </si>
  <si>
    <r>
      <rPr>
        <b val="1"/>
        <sz val="10"/>
        <color indexed="8"/>
        <rFont val="Arial"/>
      </rPr>
      <t xml:space="preserve">* Inject </t>
    </r>
    <r>
      <rPr>
        <i val="1"/>
        <sz val="8"/>
        <color indexed="8"/>
        <rFont val="Arial"/>
      </rPr>
      <t>2cc Cystorelin</t>
    </r>
    <r>
      <rPr>
        <b val="1"/>
        <sz val="10"/>
        <color indexed="8"/>
        <rFont val="Arial"/>
      </rPr>
      <t xml:space="preserve"> to all females (48 hrs following PG)</t>
    </r>
  </si>
  <si>
    <r>
      <rPr>
        <b val="1"/>
        <sz val="10"/>
        <color indexed="8"/>
        <rFont val="Arial"/>
      </rPr>
      <t xml:space="preserve">** Fixed Time AI (16-24 hrs following </t>
    </r>
    <r>
      <rPr>
        <i val="1"/>
        <sz val="8"/>
        <color indexed="8"/>
        <rFont val="Arial"/>
      </rPr>
      <t>2cc Cystorelin</t>
    </r>
    <r>
      <rPr>
        <b val="1"/>
        <sz val="10"/>
        <color indexed="8"/>
        <rFont val="Arial"/>
      </rPr>
      <t xml:space="preserve"> )</t>
    </r>
  </si>
  <si>
    <t xml:space="preserve">* Insert CIDR device in all females </t>
  </si>
  <si>
    <t xml:space="preserve">* Remove CIDRs    </t>
  </si>
  <si>
    <t>Peak heat at 36 - 48 hours after PG.</t>
  </si>
  <si>
    <t>* Insert CIDR device in all females</t>
  </si>
  <si>
    <t>Peak period for females in heat if CIDR is removed early in day.</t>
  </si>
  <si>
    <r>
      <rPr>
        <b val="1"/>
        <sz val="10"/>
        <color indexed="8"/>
        <rFont val="Arial"/>
      </rPr>
      <t xml:space="preserve">** Inject </t>
    </r>
    <r>
      <rPr>
        <i val="1"/>
        <sz val="8"/>
        <color indexed="8"/>
        <rFont val="Arial"/>
      </rPr>
      <t>2cc Cystorelin</t>
    </r>
    <r>
      <rPr>
        <b val="1"/>
        <sz val="10"/>
        <color indexed="8"/>
        <rFont val="Arial"/>
      </rPr>
      <t xml:space="preserve"> &amp; AI (72 hrs after </t>
    </r>
    <r>
      <rPr>
        <i val="1"/>
        <sz val="8"/>
        <color indexed="8"/>
        <rFont val="Arial"/>
      </rPr>
      <t>2cc Estrumate</t>
    </r>
    <r>
      <rPr>
        <b val="1"/>
        <sz val="10"/>
        <color indexed="8"/>
        <rFont val="Arial"/>
      </rPr>
      <t xml:space="preserve"> )</t>
    </r>
  </si>
  <si>
    <r>
      <rPr>
        <b val="1"/>
        <sz val="10"/>
        <color indexed="8"/>
        <rFont val="Arial"/>
      </rPr>
      <t xml:space="preserve">* Inject </t>
    </r>
    <r>
      <rPr>
        <i val="1"/>
        <sz val="8"/>
        <color indexed="8"/>
        <rFont val="Arial"/>
      </rPr>
      <t>2cc Estrumate</t>
    </r>
    <r>
      <rPr>
        <b val="1"/>
        <sz val="10"/>
        <color indexed="8"/>
        <rFont val="Arial"/>
      </rPr>
      <t xml:space="preserve"> to all females</t>
    </r>
  </si>
  <si>
    <r>
      <rPr>
        <b val="1"/>
        <sz val="10"/>
        <color indexed="8"/>
        <rFont val="Arial"/>
      </rPr>
      <t xml:space="preserve">* Inject </t>
    </r>
    <r>
      <rPr>
        <i val="1"/>
        <sz val="8"/>
        <color indexed="8"/>
        <rFont val="Arial"/>
      </rPr>
      <t>2cc Cystorelin</t>
    </r>
    <r>
      <rPr>
        <b val="1"/>
        <sz val="10"/>
        <color indexed="8"/>
        <rFont val="Arial"/>
      </rPr>
      <t xml:space="preserve">  - all females</t>
    </r>
  </si>
  <si>
    <r>
      <rPr>
        <b val="1"/>
        <sz val="10"/>
        <color indexed="8"/>
        <rFont val="Arial"/>
      </rPr>
      <t xml:space="preserve">** Inject </t>
    </r>
    <r>
      <rPr>
        <i val="1"/>
        <sz val="8"/>
        <color indexed="8"/>
        <rFont val="Arial"/>
      </rPr>
      <t>2cc Cystorelin</t>
    </r>
    <r>
      <rPr>
        <b val="1"/>
        <sz val="10"/>
        <color indexed="8"/>
        <rFont val="Arial"/>
      </rPr>
      <t xml:space="preserve"> &amp; Fixed Time AI (60 hrs after </t>
    </r>
    <r>
      <rPr>
        <i val="1"/>
        <sz val="8"/>
        <color indexed="8"/>
        <rFont val="Arial"/>
      </rPr>
      <t>2cc Estrumate</t>
    </r>
    <r>
      <rPr>
        <b val="1"/>
        <sz val="10"/>
        <color indexed="8"/>
        <rFont val="Arial"/>
      </rPr>
      <t xml:space="preserve"> )</t>
    </r>
  </si>
  <si>
    <r>
      <rPr>
        <b val="1"/>
        <sz val="10"/>
        <color indexed="8"/>
        <rFont val="Arial"/>
      </rPr>
      <t xml:space="preserve">Inject </t>
    </r>
    <r>
      <rPr>
        <i val="1"/>
        <sz val="8"/>
        <color indexed="8"/>
        <rFont val="Arial"/>
      </rPr>
      <t>2cc Estrumate</t>
    </r>
    <r>
      <rPr>
        <b val="1"/>
        <sz val="10"/>
        <color indexed="8"/>
        <rFont val="Arial"/>
      </rPr>
      <t xml:space="preserve"> (PG) to females not bred AI at:</t>
    </r>
  </si>
  <si>
    <t>Inject 2cc  "&amp;'Planner Worksheet'!L20&amp; "(PG) to all females at:</t>
  </si>
  <si>
    <t>For females not bred, inject GnRH &amp; inseminate between hrs of:</t>
  </si>
  <si>
    <r>
      <rPr>
        <b val="1"/>
        <sz val="10"/>
        <color indexed="8"/>
        <rFont val="Arial"/>
      </rPr>
      <t xml:space="preserve">Inject   </t>
    </r>
    <r>
      <rPr>
        <i val="1"/>
        <sz val="8"/>
        <color indexed="8"/>
        <rFont val="Arial"/>
      </rPr>
      <t>2cc Estrumate</t>
    </r>
    <r>
      <rPr>
        <b val="1"/>
        <sz val="10"/>
        <color indexed="8"/>
        <rFont val="Arial"/>
      </rPr>
      <t xml:space="preserve"> (PG) to all females at:</t>
    </r>
  </si>
  <si>
    <r>
      <rPr>
        <b val="1"/>
        <sz val="10"/>
        <color indexed="8"/>
        <rFont val="Arial"/>
      </rPr>
      <t xml:space="preserve">** Inject </t>
    </r>
    <r>
      <rPr>
        <i val="1"/>
        <sz val="8"/>
        <color indexed="8"/>
        <rFont val="Arial"/>
      </rPr>
      <t>2cc Cystorelin</t>
    </r>
    <r>
      <rPr>
        <b val="1"/>
        <sz val="10"/>
        <color indexed="8"/>
        <rFont val="Arial"/>
      </rPr>
      <t xml:space="preserve"> &amp; Fixed time AI (60-66 hrs after </t>
    </r>
    <r>
      <rPr>
        <i val="1"/>
        <sz val="8"/>
        <color indexed="8"/>
        <rFont val="Arial"/>
      </rPr>
      <t>2cc Estrumate</t>
    </r>
    <r>
      <rPr>
        <b val="1"/>
        <sz val="10"/>
        <color indexed="8"/>
        <rFont val="Arial"/>
      </rPr>
      <t xml:space="preserve"> )</t>
    </r>
  </si>
  <si>
    <r>
      <rPr>
        <b val="1"/>
        <sz val="10"/>
        <color indexed="8"/>
        <rFont val="Arial"/>
      </rPr>
      <t xml:space="preserve">** Inject </t>
    </r>
    <r>
      <rPr>
        <i val="1"/>
        <sz val="8"/>
        <color indexed="8"/>
        <rFont val="Arial"/>
      </rPr>
      <t>2cc Cystorelin</t>
    </r>
    <r>
      <rPr>
        <b val="1"/>
        <sz val="10"/>
        <color indexed="8"/>
        <rFont val="Arial"/>
      </rPr>
      <t xml:space="preserve"> &amp; Fixed Time AI (54 hrs after </t>
    </r>
    <r>
      <rPr>
        <i val="1"/>
        <sz val="8"/>
        <color indexed="8"/>
        <rFont val="Arial"/>
      </rPr>
      <t>2cc Estrumate</t>
    </r>
    <r>
      <rPr>
        <b val="1"/>
        <sz val="10"/>
        <color indexed="8"/>
        <rFont val="Arial"/>
      </rPr>
      <t xml:space="preserve"> )</t>
    </r>
  </si>
  <si>
    <r>
      <rPr>
        <b val="1"/>
        <sz val="10"/>
        <color indexed="8"/>
        <rFont val="Arial"/>
      </rPr>
      <t xml:space="preserve">* Inject </t>
    </r>
    <r>
      <rPr>
        <i val="1"/>
        <sz val="8"/>
        <color indexed="8"/>
        <rFont val="Arial"/>
      </rPr>
      <t>2cc Cystorelin</t>
    </r>
    <r>
      <rPr>
        <b val="1"/>
        <sz val="10"/>
        <color indexed="8"/>
        <rFont val="Arial"/>
      </rPr>
      <t xml:space="preserve"> - all females</t>
    </r>
  </si>
  <si>
    <r>
      <rPr>
        <b val="1"/>
        <sz val="10"/>
        <color indexed="8"/>
        <rFont val="Arial"/>
      </rPr>
      <t xml:space="preserve">** Inject </t>
    </r>
    <r>
      <rPr>
        <i val="1"/>
        <sz val="8"/>
        <color indexed="8"/>
        <rFont val="Arial"/>
      </rPr>
      <t>2cc Cystorelin</t>
    </r>
    <r>
      <rPr>
        <b val="1"/>
        <sz val="10"/>
        <color indexed="8"/>
        <rFont val="Arial"/>
      </rPr>
      <t xml:space="preserve"> &amp; Fixed Time AI (72 hrs after </t>
    </r>
    <r>
      <rPr>
        <i val="1"/>
        <sz val="8"/>
        <color indexed="8"/>
        <rFont val="Arial"/>
      </rPr>
      <t>2cc Estrumate</t>
    </r>
    <r>
      <rPr>
        <b val="1"/>
        <sz val="10"/>
        <color indexed="8"/>
        <rFont val="Arial"/>
      </rPr>
      <t xml:space="preserve"> )</t>
    </r>
  </si>
  <si>
    <t>Remove the CIDR device from each female</t>
  </si>
  <si>
    <t xml:space="preserve">* Turn in Bull Power </t>
  </si>
  <si>
    <r>
      <rPr>
        <b val="1"/>
        <sz val="10"/>
        <color indexed="8"/>
        <rFont val="Arial"/>
      </rPr>
      <t xml:space="preserve">* Remove CIDRs &amp; inject </t>
    </r>
    <r>
      <rPr>
        <i val="1"/>
        <sz val="8"/>
        <color indexed="8"/>
        <rFont val="Arial"/>
      </rPr>
      <t>2cc Estrumate</t>
    </r>
  </si>
  <si>
    <r>
      <rPr>
        <b val="1"/>
        <sz val="10"/>
        <color indexed="8"/>
        <rFont val="Arial"/>
      </rPr>
      <t xml:space="preserve">* 8 hrs later give 2nd </t>
    </r>
    <r>
      <rPr>
        <i val="1"/>
        <sz val="8"/>
        <color indexed="8"/>
        <rFont val="Arial"/>
      </rPr>
      <t>2cc Estrumate</t>
    </r>
    <r>
      <rPr>
        <b val="1"/>
        <sz val="10"/>
        <color indexed="8"/>
        <rFont val="Arial"/>
      </rPr>
      <t xml:space="preserve">  injection</t>
    </r>
  </si>
  <si>
    <r>
      <rPr>
        <b val="1"/>
        <sz val="10"/>
        <color indexed="8"/>
        <rFont val="Arial"/>
      </rPr>
      <t xml:space="preserve">** Inject </t>
    </r>
    <r>
      <rPr>
        <i val="1"/>
        <sz val="8"/>
        <color indexed="8"/>
        <rFont val="Arial"/>
      </rPr>
      <t>2cc Cystorelin</t>
    </r>
    <r>
      <rPr>
        <b val="1"/>
        <sz val="10"/>
        <color indexed="8"/>
        <rFont val="Arial"/>
      </rPr>
      <t xml:space="preserve"> &amp; Fixed Time AI (72 hrs after 1st </t>
    </r>
    <r>
      <rPr>
        <i val="1"/>
        <sz val="8"/>
        <color indexed="8"/>
        <rFont val="Arial"/>
      </rPr>
      <t>2cc Estrumate</t>
    </r>
    <r>
      <rPr>
        <b val="1"/>
        <sz val="10"/>
        <color indexed="8"/>
        <rFont val="Arial"/>
      </rPr>
      <t xml:space="preserve"> injection)</t>
    </r>
  </si>
  <si>
    <t>* Remove CIDRs</t>
  </si>
  <si>
    <r>
      <rPr>
        <b val="1"/>
        <sz val="10"/>
        <color indexed="8"/>
        <rFont val="Arial"/>
      </rPr>
      <t xml:space="preserve">** Inject </t>
    </r>
    <r>
      <rPr>
        <i val="1"/>
        <sz val="8"/>
        <color indexed="8"/>
        <rFont val="Arial"/>
      </rPr>
      <t>2cc Cystorelin</t>
    </r>
    <r>
      <rPr>
        <b val="1"/>
        <sz val="10"/>
        <color indexed="8"/>
        <rFont val="Arial"/>
      </rPr>
      <t xml:space="preserve"> &amp; Clean-up AI (70-74 hrs after </t>
    </r>
    <r>
      <rPr>
        <i val="1"/>
        <sz val="8"/>
        <color indexed="8"/>
        <rFont val="Arial"/>
      </rPr>
      <t>2cc Estrumate</t>
    </r>
    <r>
      <rPr>
        <b val="1"/>
        <sz val="10"/>
        <color indexed="8"/>
        <rFont val="Arial"/>
      </rPr>
      <t xml:space="preserve"> )</t>
    </r>
  </si>
  <si>
    <r>
      <rPr>
        <b val="1"/>
        <sz val="10"/>
        <color indexed="8"/>
        <rFont val="Arial"/>
      </rPr>
      <t xml:space="preserve">** Inject </t>
    </r>
    <r>
      <rPr>
        <i val="1"/>
        <sz val="8"/>
        <color indexed="8"/>
        <rFont val="Arial"/>
      </rPr>
      <t>2cc Cystorelin</t>
    </r>
    <r>
      <rPr>
        <b val="1"/>
        <sz val="10"/>
        <color indexed="8"/>
        <rFont val="Arial"/>
      </rPr>
      <t xml:space="preserve"> &amp; Fixed Time AI (66 hrs after </t>
    </r>
    <r>
      <rPr>
        <i val="1"/>
        <sz val="8"/>
        <color indexed="8"/>
        <rFont val="Arial"/>
      </rPr>
      <t>2cc Estrumate</t>
    </r>
    <r>
      <rPr>
        <b val="1"/>
        <sz val="10"/>
        <color indexed="8"/>
        <rFont val="Arial"/>
      </rPr>
      <t xml:space="preserve"> )</t>
    </r>
  </si>
  <si>
    <t>Begin heat detection.</t>
  </si>
  <si>
    <t>Heat detection</t>
  </si>
  <si>
    <t>Insert one CIDR device in each female that was not bred.</t>
  </si>
  <si>
    <r>
      <rPr>
        <b val="1"/>
        <sz val="10"/>
        <color indexed="8"/>
        <rFont val="Arial"/>
      </rPr>
      <t xml:space="preserve">Inject </t>
    </r>
    <r>
      <rPr>
        <i val="1"/>
        <sz val="8"/>
        <color indexed="8"/>
        <rFont val="Arial"/>
      </rPr>
      <t>2cc Cystorelin</t>
    </r>
    <r>
      <rPr>
        <b val="1"/>
        <sz val="10"/>
        <color indexed="8"/>
        <rFont val="Arial"/>
      </rPr>
      <t xml:space="preserve"> (GnRH) &amp; inseminate for each female not bred.</t>
    </r>
  </si>
  <si>
    <r>
      <rPr>
        <b val="1"/>
        <sz val="10"/>
        <color indexed="8"/>
        <rFont val="Arial"/>
      </rPr>
      <t xml:space="preserve">* Insert CIDR device+ Inject </t>
    </r>
    <r>
      <rPr>
        <i val="1"/>
        <sz val="8"/>
        <color indexed="8"/>
        <rFont val="Arial"/>
      </rPr>
      <t>2cc Cystorelin</t>
    </r>
    <r>
      <rPr>
        <b val="1"/>
        <sz val="10"/>
        <color indexed="8"/>
        <rFont val="Arial"/>
      </rPr>
      <t xml:space="preserve"> in nonbred females </t>
    </r>
  </si>
  <si>
    <r>
      <rPr>
        <b val="1"/>
        <sz val="10"/>
        <color indexed="8"/>
        <rFont val="Arial"/>
      </rPr>
      <t xml:space="preserve">Inject </t>
    </r>
    <r>
      <rPr>
        <i val="1"/>
        <sz val="8"/>
        <color indexed="8"/>
        <rFont val="Arial"/>
      </rPr>
      <t>2cc Estrumate</t>
    </r>
    <r>
      <rPr>
        <b val="1"/>
        <sz val="10"/>
        <color indexed="8"/>
        <rFont val="Arial"/>
      </rPr>
      <t xml:space="preserve"> (PG) &amp; inseminate for each female not bred.</t>
    </r>
  </si>
  <si>
    <t>Resume heat detection after PG injection</t>
  </si>
  <si>
    <r>
      <rPr>
        <b val="1"/>
        <sz val="10"/>
        <color indexed="8"/>
        <rFont val="Arial"/>
      </rPr>
      <t xml:space="preserve">* Remove CIDR device+ inject </t>
    </r>
    <r>
      <rPr>
        <i val="1"/>
        <sz val="8"/>
        <color indexed="8"/>
        <rFont val="Arial"/>
      </rPr>
      <t>2cc Estrumate</t>
    </r>
    <r>
      <rPr>
        <b val="1"/>
        <sz val="10"/>
        <color indexed="8"/>
        <rFont val="Arial"/>
      </rPr>
      <t xml:space="preserve">  in nonbred females </t>
    </r>
  </si>
  <si>
    <t>Continue heat detection</t>
  </si>
  <si>
    <t>* Detect Estrus &amp; Breed</t>
  </si>
  <si>
    <r>
      <rPr>
        <b val="1"/>
        <sz val="10"/>
        <color indexed="8"/>
        <rFont val="Arial"/>
      </rPr>
      <t xml:space="preserve">Inject </t>
    </r>
    <r>
      <rPr>
        <i val="1"/>
        <sz val="8"/>
        <color indexed="8"/>
        <rFont val="Arial"/>
      </rPr>
      <t>2cc Cystorelin</t>
    </r>
    <r>
      <rPr>
        <b val="1"/>
        <sz val="10"/>
        <color indexed="8"/>
        <rFont val="Arial"/>
      </rPr>
      <t xml:space="preserve"> (GnRH) &amp; inseminate for each female not bred between:</t>
    </r>
  </si>
  <si>
    <r>
      <rPr>
        <b val="1"/>
        <sz val="10"/>
        <color indexed="8"/>
        <rFont val="Arial"/>
      </rPr>
      <t xml:space="preserve">* Insert CIDR device+ inject </t>
    </r>
    <r>
      <rPr>
        <i val="1"/>
        <sz val="8"/>
        <color indexed="8"/>
        <rFont val="Arial"/>
      </rPr>
      <t>2cc Cystorelin</t>
    </r>
    <r>
      <rPr>
        <b val="1"/>
        <sz val="10"/>
        <color indexed="8"/>
        <rFont val="Arial"/>
      </rPr>
      <t xml:space="preserve">  in nonbred females </t>
    </r>
  </si>
  <si>
    <r>
      <rPr>
        <b val="1"/>
        <sz val="10"/>
        <color indexed="8"/>
        <rFont val="Arial"/>
      </rPr>
      <t xml:space="preserve">* Remove CIDR device+ inject </t>
    </r>
    <r>
      <rPr>
        <i val="1"/>
        <sz val="8"/>
        <color indexed="8"/>
        <rFont val="Arial"/>
      </rPr>
      <t>2cc Estrumate</t>
    </r>
    <r>
      <rPr>
        <b val="1"/>
        <sz val="10"/>
        <color indexed="8"/>
        <rFont val="Arial"/>
      </rPr>
      <t xml:space="preserve"> in nonbred females </t>
    </r>
  </si>
  <si>
    <t>Continue heat detection for 3 more days</t>
  </si>
  <si>
    <r>
      <rPr>
        <b val="1"/>
        <sz val="10"/>
        <color indexed="8"/>
        <rFont val="Arial"/>
      </rPr>
      <t xml:space="preserve">** Inject </t>
    </r>
    <r>
      <rPr>
        <i val="1"/>
        <sz val="8"/>
        <color indexed="8"/>
        <rFont val="Arial"/>
      </rPr>
      <t>2cc Cystorelin</t>
    </r>
    <r>
      <rPr>
        <b val="1"/>
        <sz val="10"/>
        <color indexed="8"/>
        <rFont val="Arial"/>
      </rPr>
      <t xml:space="preserve"> &amp; Fixed Time AI (69 hrs after </t>
    </r>
    <r>
      <rPr>
        <i val="1"/>
        <sz val="8"/>
        <color indexed="8"/>
        <rFont val="Arial"/>
      </rPr>
      <t>2cc Estrumate</t>
    </r>
    <r>
      <rPr>
        <b val="1"/>
        <sz val="10"/>
        <color indexed="8"/>
        <rFont val="Arial"/>
      </rPr>
      <t xml:space="preserve"> )</t>
    </r>
  </si>
  <si>
    <r>
      <rPr>
        <b val="1"/>
        <sz val="10"/>
        <color indexed="8"/>
        <rFont val="Arial"/>
      </rPr>
      <t xml:space="preserve">Inject </t>
    </r>
    <r>
      <rPr>
        <i val="1"/>
        <sz val="8"/>
        <color indexed="8"/>
        <rFont val="Arial"/>
      </rPr>
      <t>2cc Estrumate</t>
    </r>
    <r>
      <rPr>
        <b val="1"/>
        <sz val="10"/>
        <color indexed="8"/>
        <rFont val="Arial"/>
      </rPr>
      <t xml:space="preserve"> (GnRH) &amp; inseminate for each female not bred.</t>
    </r>
  </si>
  <si>
    <r>
      <rPr>
        <b val="1"/>
        <sz val="10"/>
        <color indexed="8"/>
        <rFont val="Arial"/>
      </rPr>
      <t xml:space="preserve">* 8 hrs later give 2nd </t>
    </r>
    <r>
      <rPr>
        <i val="1"/>
        <sz val="8"/>
        <color indexed="8"/>
        <rFont val="Arial"/>
      </rPr>
      <t>2cc Estrumate</t>
    </r>
    <r>
      <rPr>
        <b val="1"/>
        <sz val="10"/>
        <color indexed="8"/>
        <rFont val="Arial"/>
      </rPr>
      <t xml:space="preserve"> injection</t>
    </r>
  </si>
  <si>
    <t>Synchronization System</t>
  </si>
  <si>
    <t>Number of PGF Shots / Female</t>
  </si>
  <si>
    <t>Number of GnRH Shots / Female</t>
  </si>
  <si>
    <t>Number of CIDRs / Female</t>
  </si>
  <si>
    <t>Number of Days on MGA</t>
  </si>
  <si>
    <t>Number of Days Drylot</t>
  </si>
  <si>
    <t>Number of Days AI</t>
  </si>
  <si>
    <t>Number of Tech Trips</t>
  </si>
  <si>
    <t>Number of Heat Checks</t>
  </si>
  <si>
    <t>Number of Chute Times</t>
  </si>
  <si>
    <t>Response Start %</t>
  </si>
  <si>
    <t>Concp Start %</t>
  </si>
  <si>
    <t>Begin Heat</t>
  </si>
  <si>
    <t>End Heat</t>
  </si>
  <si>
    <t>Begin MGA</t>
  </si>
  <si>
    <t>End MGA</t>
  </si>
  <si>
    <t>Days worked for Labor costs</t>
  </si>
  <si>
    <t>hour wait</t>
  </si>
  <si>
    <t>breeding time range</t>
  </si>
  <si>
    <t>min PG</t>
  </si>
  <si>
    <t>Max Pg</t>
  </si>
  <si>
    <t>Min  GnRH</t>
  </si>
  <si>
    <t>Max GnRH</t>
  </si>
  <si>
    <t>min CiDR</t>
  </si>
  <si>
    <t>max cidr</t>
  </si>
  <si>
    <t>MGA min</t>
  </si>
  <si>
    <t>MGA max</t>
  </si>
  <si>
    <t>days start to end</t>
  </si>
  <si>
    <t>3 = 2 Injection Prostaglandin (no prior estrus detection)</t>
  </si>
  <si>
    <t>7 = Select Synch</t>
  </si>
  <si>
    <t>10 = CO-Synch with Fixed-Time AI 48 +/-2</t>
  </si>
  <si>
    <t>11 = Co Synch - (GnRH + PGF2a + GnRH  48 hr calf removal)</t>
  </si>
  <si>
    <t>13 = OvSynch</t>
  </si>
  <si>
    <t>15 = 7 Day CIDR+PG</t>
  </si>
  <si>
    <t>22 = 7 Day CO-Synch+CIDR with Fixed-Time AI 63 +/- 3</t>
  </si>
  <si>
    <t>23 = 7 Day CO-Synch+CIDR with Fixed-Time AI 54 +/-2</t>
  </si>
  <si>
    <t>24 = CO-Synch+CIDR with E-AI and Cleanup AI</t>
  </si>
  <si>
    <t>25 = 7 Day CIDR+Pg with  E-AI and Cleanup AI</t>
  </si>
  <si>
    <t>32=14 Day CIDR+PG with Fixed- Time AI 66+/-2</t>
  </si>
  <si>
    <t>33=PG - 6 Day CIDR with E-AI and Cleanup AI</t>
  </si>
  <si>
    <t>34=PG - 6 Day CIDR with E-AI</t>
  </si>
  <si>
    <t>35=PG - 6 Day CIDR with Fixed-Time AI 69 +/-3</t>
  </si>
  <si>
    <t>36=PG - 6 Day CIDR with Fixed-Time AI 66 +/-2</t>
  </si>
  <si>
    <t>37-PG 5 Day CoSynch+CIDR with Fixed Time AI 66 +/-2</t>
  </si>
  <si>
    <t>38 = 5 Day CO-Synch+CIDR with Fixed-Time AI 60 +/-4</t>
  </si>
  <si>
    <t xml:space="preserve">Estrus Synchronization Planner </t>
  </si>
  <si>
    <r>
      <rPr>
        <b val="1"/>
        <i val="1"/>
        <sz val="12"/>
        <color indexed="11"/>
        <rFont val="Arial"/>
      </rPr>
      <t>29 = 5 Day CO-Synch+CIDR with Fixed-Time AI 72 +/-2</t>
    </r>
  </si>
  <si>
    <r>
      <rPr>
        <i val="1"/>
        <sz val="10"/>
        <color indexed="11"/>
        <rFont val="Arial"/>
      </rPr>
      <t>GnRH= 2cc Cystorelin</t>
    </r>
  </si>
  <si>
    <r>
      <rPr>
        <i val="1"/>
        <sz val="10"/>
        <color indexed="11"/>
        <rFont val="Arial"/>
      </rPr>
      <t>PG= 2cc Estrumate</t>
    </r>
  </si>
  <si>
    <t xml:space="preserve">Clean-up bull turn in date:     </t>
  </si>
  <si>
    <t xml:space="preserve">Start of calving season:  </t>
  </si>
  <si>
    <r>
      <rPr>
        <b val="1"/>
        <sz val="11"/>
        <color indexed="12"/>
        <rFont val="Arial"/>
      </rPr>
      <t>CIDR removal:</t>
    </r>
  </si>
  <si>
    <t>Complete Timed AI between:</t>
  </si>
  <si>
    <t>and</t>
  </si>
  <si>
    <t>Tuesday</t>
  </si>
  <si>
    <t>Wednesday</t>
  </si>
  <si>
    <t>Thursday</t>
  </si>
  <si>
    <t>Saturday</t>
  </si>
  <si>
    <r>
      <rPr>
        <sz val="9"/>
        <color indexed="8"/>
        <rFont val="Times New Roman"/>
      </rPr>
      <t>* Insert CIDR device in all females * Inject 2cc Cystorelin  - all females</t>
    </r>
  </si>
  <si>
    <r>
      <rPr>
        <sz val="9"/>
        <color indexed="8"/>
        <rFont val="Times New Roman"/>
      </rPr>
      <t>* Remove CIDRs &amp; inject 2cc Estrumate* 8 hrs later give 2nd 2cc Estrumate  injection</t>
    </r>
  </si>
  <si>
    <r>
      <rPr>
        <sz val="9"/>
        <color indexed="8"/>
        <rFont val="Times New Roman"/>
      </rPr>
      <t>** Inject 2cc Cystorelin &amp; Fixed Time AI (72 hrs after 1st 2cc Estrumate injection)</t>
    </r>
  </si>
  <si>
    <t>Clean-up bull turn in date:</t>
  </si>
  <si>
    <t>Start of calving season:</t>
  </si>
  <si>
    <r>
      <rPr>
        <b val="1"/>
        <sz val="12"/>
        <color indexed="11"/>
        <rFont val="Arial"/>
      </rPr>
      <t>29 = 5 Day CO-Synch+CIDR with Fixed-Time AI 72 +/-2</t>
    </r>
  </si>
  <si>
    <t xml:space="preserve">Estimated average number of times per head through the working facility:     </t>
  </si>
  <si>
    <r>
      <rPr>
        <sz val="11"/>
        <color indexed="11"/>
        <rFont val="Arial"/>
      </rPr>
      <t>This system works well in cows.  No estrus detection required.</t>
    </r>
  </si>
  <si>
    <r>
      <rPr>
        <sz val="11"/>
        <color indexed="11"/>
        <rFont val="Arial"/>
      </rPr>
      <t>Fixed time AI can be done at 72 (+/- 2) hrs. after 1st PG injection.</t>
    </r>
  </si>
  <si>
    <r>
      <rPr>
        <sz val="11"/>
        <color indexed="11"/>
        <rFont val="Arial"/>
      </rPr>
      <t>All females require a GnRH injection at fixed-time AI.</t>
    </r>
  </si>
  <si>
    <r>
      <rPr>
        <sz val="11"/>
        <color indexed="11"/>
        <rFont val="Arial"/>
      </rPr>
      <t>This system can initiate estrous cycles in some noncycling females.</t>
    </r>
  </si>
  <si>
    <r>
      <rPr>
        <sz val="11"/>
        <color indexed="11"/>
        <rFont val="Arial"/>
      </rPr>
      <t>Expect lower fertility in cows less than 50 days postpartum at time of PG injection.</t>
    </r>
  </si>
  <si>
    <r>
      <rPr>
        <sz val="11"/>
        <color indexed="11"/>
        <rFont val="Arial"/>
      </rPr>
      <t>Two full doses of PG at least 6 hours appart are critical for success</t>
    </r>
  </si>
  <si>
    <r>
      <rPr>
        <sz val="11"/>
        <color indexed="11"/>
        <rFont val="Arial"/>
      </rPr>
      <t xml:space="preserve">Immediate addition of clean-up bulls could lead to questions about parentage. </t>
    </r>
  </si>
  <si>
    <t>Description of Activity</t>
  </si>
  <si>
    <r>
      <rPr>
        <sz val="11"/>
        <color indexed="8"/>
        <rFont val="Arial"/>
      </rPr>
      <t>Sunday</t>
    </r>
  </si>
  <si>
    <r>
      <rPr>
        <sz val="11"/>
        <color indexed="8"/>
        <rFont val="Arial"/>
      </rPr>
      <t>Insert one CIDR device in each female.</t>
    </r>
  </si>
  <si>
    <r>
      <rPr>
        <sz val="11"/>
        <color indexed="8"/>
        <rFont val="Arial"/>
      </rPr>
      <t>Friday</t>
    </r>
  </si>
  <si>
    <r>
      <rPr>
        <sz val="11"/>
        <color indexed="8"/>
        <rFont val="Arial"/>
      </rPr>
      <t>Remove the CIDR device from each female.</t>
    </r>
  </si>
  <si>
    <r>
      <rPr>
        <sz val="11"/>
        <color indexed="8"/>
        <rFont val="Arial"/>
      </rPr>
      <t>Inject 2nd dose of Prostaglandin (PG) 8 hours (+/- 2 hrs) after 1st PG injection.</t>
    </r>
  </si>
  <si>
    <r>
      <rPr>
        <sz val="11"/>
        <color indexed="8"/>
        <rFont val="Arial"/>
      </rPr>
      <t>Monday</t>
    </r>
  </si>
  <si>
    <r>
      <rPr>
        <sz val="11"/>
        <color indexed="8"/>
        <rFont val="Arial"/>
      </rPr>
      <t>Breed all females at time of GnRH injection between:</t>
    </r>
  </si>
  <si>
    <r>
      <rPr>
        <sz val="11"/>
        <color indexed="8"/>
        <rFont val="Arial"/>
      </rPr>
      <t>Turn clean up bulls in with females.</t>
    </r>
  </si>
  <si>
    <r>
      <rPr>
        <sz val="11"/>
        <color indexed="8"/>
        <rFont val="Arial"/>
      </rPr>
      <t xml:space="preserve">Immediate addition of clean-up bulls could lead to questions about parentage. </t>
    </r>
  </si>
  <si>
    <r>
      <rPr>
        <sz val="11"/>
        <color indexed="8"/>
        <rFont val="Arial"/>
      </rPr>
      <t>New Cycle</t>
    </r>
  </si>
  <si>
    <t>Cost Comparison of Three Selected Systems</t>
  </si>
  <si>
    <t>Item</t>
  </si>
  <si>
    <t>Dose or Units</t>
  </si>
  <si>
    <t>vs.</t>
  </si>
  <si>
    <r>
      <rPr>
        <sz val="11"/>
        <color indexed="8"/>
        <rFont val="Arial"/>
      </rPr>
      <t>2cc Estrumate Cost</t>
    </r>
  </si>
  <si>
    <r>
      <rPr>
        <sz val="11"/>
        <color indexed="8"/>
        <rFont val="Arial"/>
      </rPr>
      <t>2cc Cystorelin Cost</t>
    </r>
  </si>
  <si>
    <r>
      <rPr>
        <sz val="11"/>
        <color indexed="8"/>
        <rFont val="Arial"/>
      </rPr>
      <t>MGA Supplement</t>
    </r>
  </si>
  <si>
    <r>
      <rPr>
        <sz val="11"/>
        <color indexed="8"/>
        <rFont val="Arial"/>
      </rPr>
      <t>CIDR Cost</t>
    </r>
  </si>
  <si>
    <t>Synchronization Cost Subtotal</t>
  </si>
  <si>
    <r>
      <rPr>
        <sz val="11"/>
        <color indexed="8"/>
        <rFont val="Arial"/>
      </rPr>
      <t>Detect/Mgt.Labor</t>
    </r>
  </si>
  <si>
    <r>
      <rPr>
        <sz val="11"/>
        <color indexed="8"/>
        <rFont val="Arial"/>
      </rPr>
      <t>Semen</t>
    </r>
  </si>
  <si>
    <r>
      <rPr>
        <sz val="11"/>
        <color indexed="8"/>
        <rFont val="Arial"/>
      </rPr>
      <t>ultrasound</t>
    </r>
  </si>
  <si>
    <r>
      <rPr>
        <sz val="11"/>
        <color indexed="8"/>
        <rFont val="Arial"/>
      </rPr>
      <t>patches</t>
    </r>
  </si>
  <si>
    <t>Forage (lbs)</t>
  </si>
  <si>
    <t>Grain (lbs)</t>
  </si>
  <si>
    <t>Yardage (hd-day)</t>
  </si>
  <si>
    <t>Supplement (lbs)</t>
  </si>
  <si>
    <t>This feed &amp; yardage cost does not credit in the cost of maintaining the female on pasture.</t>
  </si>
  <si>
    <t>$/Synch AI = cost per successful AI pregnancy for the selected system under the given success rate.</t>
  </si>
  <si>
    <r>
      <rPr>
        <b val="1"/>
        <sz val="10"/>
        <color indexed="12"/>
        <rFont val="Arial"/>
      </rPr>
      <t>29 = 5 Day CO-Synch+CIDR with Fixed-Time AI 72 +/-2</t>
    </r>
  </si>
  <si>
    <t>$/Synch AI preg.</t>
  </si>
  <si>
    <r>
      <rPr>
        <i val="1"/>
        <sz val="11"/>
        <color indexed="14"/>
        <rFont val="Arial"/>
      </rPr>
      <t>Excludes Yardage+Feed =</t>
    </r>
  </si>
  <si>
    <r>
      <rPr>
        <i val="1"/>
        <sz val="11"/>
        <color indexed="14"/>
        <rFont val="Arial"/>
      </rPr>
      <t>per head.</t>
    </r>
  </si>
  <si>
    <t>Notes:</t>
  </si>
  <si>
    <t>Planner Tips &amp; Overview</t>
  </si>
  <si>
    <r>
      <rPr>
        <i val="1"/>
        <u val="single"/>
        <sz val="10"/>
        <color indexed="12"/>
        <rFont val="Arial"/>
      </rPr>
      <t>Back</t>
    </r>
  </si>
  <si>
    <t>Cow Protocols</t>
  </si>
  <si>
    <t>Heifer Protocols</t>
  </si>
</sst>
</file>

<file path=xl/styles.xml><?xml version="1.0" encoding="utf-8"?>
<styleSheet xmlns="http://schemas.openxmlformats.org/spreadsheetml/2006/main">
  <numFmts count="13">
    <numFmt numFmtId="0" formatCode="General"/>
    <numFmt numFmtId="59" formatCode="m/d/yy&quot; &quot;h:mm&quot; &quot;AM/PM"/>
    <numFmt numFmtId="60" formatCode="0.0"/>
    <numFmt numFmtId="61" formatCode="&quot;$&quot;#,##0.00"/>
    <numFmt numFmtId="62" formatCode="&quot;$&quot;#,##0.000"/>
    <numFmt numFmtId="63" formatCode="#,##0.000000000&quot; &quot;;(#,##0.000000000)"/>
    <numFmt numFmtId="64" formatCode="&quot;$&quot;#,##0"/>
    <numFmt numFmtId="65" formatCode="0.0%"/>
    <numFmt numFmtId="66" formatCode="m/d/yyyy&quot; &quot;h:mm&quot; &quot;AM/PM"/>
    <numFmt numFmtId="67" formatCode="h:mm&quot; &quot;AM/PM"/>
    <numFmt numFmtId="68" formatCode="m/d/yyyy"/>
    <numFmt numFmtId="69" formatCode="mmmm&quot; &quot;d&quot;, &quot;yyyy"/>
    <numFmt numFmtId="70" formatCode="mm/dd/yy"/>
  </numFmts>
  <fonts count="116">
    <font>
      <sz val="11"/>
      <color indexed="8"/>
      <name val="Calibri"/>
    </font>
    <font>
      <sz val="12"/>
      <color indexed="8"/>
      <name val="Helvetica Neue"/>
    </font>
    <font>
      <sz val="14"/>
      <color indexed="8"/>
      <name val="Calibri"/>
    </font>
    <font>
      <b val="1"/>
      <sz val="10"/>
      <color indexed="8"/>
      <name val="Arial"/>
    </font>
    <font>
      <b val="1"/>
      <i val="1"/>
      <sz val="24"/>
      <color indexed="11"/>
      <name val="Arial"/>
    </font>
    <font>
      <i val="1"/>
      <sz val="24"/>
      <color indexed="11"/>
      <name val="Arial"/>
    </font>
    <font>
      <b val="1"/>
      <sz val="10"/>
      <color indexed="9"/>
      <name val="Arial"/>
    </font>
    <font>
      <b val="1"/>
      <sz val="10"/>
      <color indexed="12"/>
      <name val="Arial"/>
    </font>
    <font>
      <b val="1"/>
      <sz val="20"/>
      <color indexed="8"/>
      <name val="Arial"/>
    </font>
    <font>
      <b val="1"/>
      <i val="1"/>
      <sz val="16"/>
      <color indexed="8"/>
      <name val="Arial"/>
    </font>
    <font>
      <b val="1"/>
      <i val="1"/>
      <sz val="10"/>
      <color indexed="8"/>
      <name val="Arial"/>
    </font>
    <font>
      <b val="1"/>
      <sz val="24"/>
      <color indexed="8"/>
      <name val="Arial"/>
    </font>
    <font>
      <u val="single"/>
      <sz val="10"/>
      <color indexed="12"/>
      <name val="Arial"/>
    </font>
    <font>
      <b val="1"/>
      <u val="single"/>
      <sz val="10"/>
      <color indexed="9"/>
      <name val="Arial"/>
    </font>
    <font>
      <b val="1"/>
      <i val="1"/>
      <sz val="28"/>
      <color indexed="8"/>
      <name val="Arial"/>
    </font>
    <font>
      <b val="1"/>
      <sz val="10"/>
      <color indexed="11"/>
      <name val="Arial"/>
    </font>
    <font>
      <b val="1"/>
      <sz val="12"/>
      <color indexed="9"/>
      <name val="Arial"/>
    </font>
    <font>
      <b val="1"/>
      <i val="1"/>
      <sz val="24"/>
      <color indexed="8"/>
      <name val="Arial"/>
    </font>
    <font>
      <i val="1"/>
      <sz val="24"/>
      <color indexed="8"/>
      <name val="Arial"/>
    </font>
    <font>
      <sz val="10"/>
      <color indexed="8"/>
      <name val="Arial"/>
    </font>
    <font>
      <u val="single"/>
      <sz val="10"/>
      <color indexed="9"/>
      <name val="Arial"/>
    </font>
    <font>
      <b val="1"/>
      <i val="1"/>
      <sz val="18"/>
      <color indexed="8"/>
      <name val="Arial"/>
    </font>
    <font>
      <b val="1"/>
      <sz val="16"/>
      <color indexed="8"/>
      <name val="Arial"/>
    </font>
    <font>
      <b val="1"/>
      <i val="1"/>
      <sz val="12"/>
      <color indexed="8"/>
      <name val="Arial"/>
    </font>
    <font>
      <b val="1"/>
      <sz val="10"/>
      <color indexed="13"/>
      <name val="Arial"/>
    </font>
    <font>
      <i val="1"/>
      <sz val="11"/>
      <color indexed="8"/>
      <name val="Arial"/>
    </font>
    <font>
      <b val="1"/>
      <sz val="11"/>
      <color indexed="8"/>
      <name val="Arial"/>
    </font>
    <font>
      <b val="1"/>
      <sz val="12"/>
      <color indexed="8"/>
      <name val="Arial"/>
    </font>
    <font>
      <sz val="11"/>
      <color indexed="8"/>
      <name val="Arial"/>
    </font>
    <font>
      <i val="1"/>
      <sz val="12"/>
      <color indexed="8"/>
      <name val="Arial"/>
    </font>
    <font>
      <u val="single"/>
      <sz val="10"/>
      <color indexed="14"/>
      <name val="Arial"/>
    </font>
    <font>
      <i val="1"/>
      <sz val="11"/>
      <color indexed="8"/>
      <name val="Calibri"/>
    </font>
    <font>
      <u val="single"/>
      <sz val="10"/>
      <color indexed="8"/>
      <name val="Arial"/>
    </font>
    <font>
      <sz val="11"/>
      <color indexed="12"/>
      <name val="Calibri"/>
    </font>
    <font>
      <b val="1"/>
      <shadow val="1"/>
      <sz val="71"/>
      <color indexed="15"/>
      <name val="Times New Roman"/>
    </font>
    <font>
      <i val="1"/>
      <sz val="16"/>
      <color indexed="8"/>
      <name val="Arial"/>
    </font>
    <font>
      <sz val="12"/>
      <color indexed="8"/>
      <name val="Arial"/>
    </font>
    <font>
      <sz val="11"/>
      <color indexed="16"/>
      <name val="Arial"/>
    </font>
    <font>
      <i val="1"/>
      <sz val="12"/>
      <color indexed="11"/>
      <name val="Arial"/>
    </font>
    <font>
      <sz val="12"/>
      <color indexed="13"/>
      <name val="Arial"/>
    </font>
    <font>
      <b val="1"/>
      <sz val="14"/>
      <color indexed="12"/>
      <name val="Arial"/>
    </font>
    <font>
      <b val="1"/>
      <sz val="16"/>
      <color indexed="13"/>
      <name val="Arial"/>
    </font>
    <font>
      <b val="1"/>
      <sz val="12"/>
      <color indexed="12"/>
      <name val="Arial"/>
    </font>
    <font>
      <sz val="11"/>
      <color indexed="8"/>
      <name val="Helvetica Neue"/>
    </font>
    <font>
      <sz val="12"/>
      <color indexed="12"/>
      <name val="Arial"/>
    </font>
    <font>
      <b val="1"/>
      <sz val="16"/>
      <color indexed="12"/>
      <name val="Arial"/>
    </font>
    <font>
      <sz val="12"/>
      <color indexed="17"/>
      <name val="Arial"/>
    </font>
    <font>
      <b val="1"/>
      <sz val="12"/>
      <color indexed="17"/>
      <name val="Arial"/>
    </font>
    <font>
      <sz val="12"/>
      <color indexed="18"/>
      <name val="Arial"/>
    </font>
    <font>
      <sz val="12"/>
      <color indexed="9"/>
      <name val="Arial"/>
    </font>
    <font>
      <b val="1"/>
      <sz val="12"/>
      <color indexed="11"/>
      <name val="Arial"/>
    </font>
    <font>
      <sz val="9"/>
      <color indexed="8"/>
      <name val="Arial"/>
    </font>
    <font>
      <sz val="9"/>
      <color indexed="11"/>
      <name val="Arial"/>
    </font>
    <font>
      <sz val="10"/>
      <color indexed="19"/>
      <name val="Arial"/>
    </font>
    <font>
      <sz val="12"/>
      <color indexed="11"/>
      <name val="Arial"/>
    </font>
    <font>
      <sz val="8"/>
      <color indexed="8"/>
      <name val="Arial"/>
    </font>
    <font>
      <b val="1"/>
      <i val="1"/>
      <sz val="11"/>
      <color indexed="8"/>
      <name val="Arial"/>
    </font>
    <font>
      <sz val="11"/>
      <color indexed="14"/>
      <name val="Arial"/>
    </font>
    <font>
      <b val="1"/>
      <sz val="16"/>
      <color indexed="11"/>
      <name val="Arial"/>
    </font>
    <font>
      <i val="1"/>
      <sz val="8"/>
      <color indexed="8"/>
      <name val="Arial"/>
    </font>
    <font>
      <sz val="9"/>
      <color indexed="8"/>
      <name val="Calibri"/>
    </font>
    <font>
      <b val="1"/>
      <i val="1"/>
      <sz val="12"/>
      <color indexed="11"/>
      <name val="Arial"/>
    </font>
    <font>
      <sz val="12"/>
      <color indexed="19"/>
      <name val="Arial"/>
    </font>
    <font>
      <i val="1"/>
      <sz val="9"/>
      <color indexed="8"/>
      <name val="Arial"/>
    </font>
    <font>
      <b val="1"/>
      <sz val="9"/>
      <color indexed="8"/>
      <name val="Arial"/>
    </font>
    <font>
      <sz val="11"/>
      <color indexed="9"/>
      <name val="Arial"/>
    </font>
    <font>
      <i val="1"/>
      <u val="single"/>
      <sz val="10"/>
      <color indexed="14"/>
      <name val="Arial"/>
    </font>
    <font>
      <b val="1"/>
      <sz val="9"/>
      <color indexed="19"/>
      <name val="Arial"/>
    </font>
    <font>
      <b val="1"/>
      <i val="1"/>
      <sz val="11"/>
      <color indexed="11"/>
      <name val="Arial"/>
    </font>
    <font>
      <b val="1"/>
      <sz val="11"/>
      <color indexed="11"/>
      <name val="Arial"/>
    </font>
    <font>
      <sz val="12"/>
      <color indexed="14"/>
      <name val="Arial"/>
    </font>
    <font>
      <b val="1"/>
      <sz val="12"/>
      <color indexed="18"/>
      <name val="Arial"/>
    </font>
    <font>
      <b val="1"/>
      <sz val="12"/>
      <color indexed="14"/>
      <name val="Arial"/>
    </font>
    <font>
      <b val="1"/>
      <sz val="11"/>
      <color indexed="14"/>
      <name val="Arial"/>
    </font>
    <font>
      <sz val="10"/>
      <color indexed="14"/>
      <name val="Arial"/>
    </font>
    <font>
      <sz val="11"/>
      <color indexed="12"/>
      <name val="Arial"/>
    </font>
    <font>
      <sz val="11"/>
      <color indexed="19"/>
      <name val="Arial"/>
    </font>
    <font>
      <b val="1"/>
      <i val="1"/>
      <sz val="11"/>
      <color indexed="19"/>
      <name val="Arial"/>
    </font>
    <font>
      <i val="1"/>
      <sz val="10"/>
      <color indexed="8"/>
      <name val="Arial"/>
    </font>
    <font>
      <b val="1"/>
      <sz val="11"/>
      <color indexed="12"/>
      <name val="Arial"/>
    </font>
    <font>
      <sz val="14"/>
      <color indexed="12"/>
      <name val="Arial"/>
    </font>
    <font>
      <b val="1"/>
      <sz val="14"/>
      <color indexed="13"/>
      <name val="Arial"/>
    </font>
    <font>
      <sz val="10"/>
      <color indexed="12"/>
      <name val="Arial"/>
    </font>
    <font>
      <i val="1"/>
      <sz val="11"/>
      <color indexed="11"/>
      <name val="Arial"/>
    </font>
    <font>
      <b val="1"/>
      <u val="single"/>
      <sz val="12"/>
      <color indexed="18"/>
      <name val="Arial"/>
    </font>
    <font>
      <b val="1"/>
      <sz val="10"/>
      <color indexed="14"/>
      <name val="Arial"/>
    </font>
    <font>
      <b val="1"/>
      <i val="1"/>
      <sz val="10"/>
      <color indexed="14"/>
      <name val="Arial"/>
    </font>
    <font>
      <i val="1"/>
      <sz val="10"/>
      <color indexed="14"/>
      <name val="Arial"/>
    </font>
    <font>
      <sz val="12"/>
      <color indexed="20"/>
      <name val="Arial"/>
    </font>
    <font>
      <sz val="10"/>
      <color indexed="20"/>
      <name val="Arial"/>
    </font>
    <font>
      <sz val="9"/>
      <color indexed="12"/>
      <name val="Arial"/>
    </font>
    <font>
      <b val="1"/>
      <sz val="9"/>
      <color indexed="12"/>
      <name val="Arial"/>
    </font>
    <font>
      <sz val="9"/>
      <color indexed="14"/>
      <name val="Arial"/>
    </font>
    <font>
      <sz val="10"/>
      <color indexed="8"/>
      <name val="Times New Roman"/>
    </font>
    <font>
      <b val="1"/>
      <sz val="14"/>
      <color indexed="8"/>
      <name val="Arial"/>
    </font>
    <font>
      <i val="1"/>
      <sz val="10"/>
      <color indexed="11"/>
      <name val="Arial"/>
    </font>
    <font>
      <b val="1"/>
      <sz val="12"/>
      <color indexed="8"/>
      <name val="Times New Roman"/>
    </font>
    <font>
      <sz val="9"/>
      <color indexed="8"/>
      <name val="Times New Roman"/>
    </font>
    <font>
      <sz val="10"/>
      <color indexed="18"/>
      <name val="Times New Roman"/>
    </font>
    <font>
      <sz val="10"/>
      <color indexed="11"/>
      <name val="Calibri"/>
    </font>
    <font>
      <sz val="10"/>
      <color indexed="8"/>
      <name val="Calibri"/>
    </font>
    <font>
      <sz val="10"/>
      <color indexed="11"/>
      <name val="Arial"/>
    </font>
    <font>
      <i val="1"/>
      <sz val="11"/>
      <color indexed="12"/>
      <name val="Arial"/>
    </font>
    <font>
      <b val="1"/>
      <i val="1"/>
      <sz val="11"/>
      <color indexed="12"/>
      <name val="Arial"/>
    </font>
    <font>
      <sz val="11"/>
      <color indexed="11"/>
      <name val="Arial"/>
    </font>
    <font>
      <b val="1"/>
      <sz val="14"/>
      <color indexed="18"/>
      <name val="Arial"/>
    </font>
    <font>
      <sz val="8"/>
      <color indexed="18"/>
      <name val="Arial"/>
    </font>
    <font>
      <sz val="9"/>
      <color indexed="18"/>
      <name val="Arial"/>
    </font>
    <font>
      <i val="1"/>
      <sz val="11"/>
      <color indexed="14"/>
      <name val="Arial"/>
    </font>
    <font>
      <b val="1"/>
      <i val="1"/>
      <sz val="11"/>
      <color indexed="14"/>
      <name val="Arial"/>
    </font>
    <font>
      <sz val="10"/>
      <color indexed="13"/>
      <name val="Arial"/>
    </font>
    <font>
      <sz val="10"/>
      <color indexed="12"/>
      <name val="Times New Roman"/>
    </font>
    <font>
      <b val="1"/>
      <i val="1"/>
      <sz val="22"/>
      <color indexed="8"/>
      <name val="Arial"/>
    </font>
    <font>
      <b val="1"/>
      <sz val="14"/>
      <color indexed="24"/>
      <name val="Arial"/>
    </font>
    <font>
      <i val="1"/>
      <u val="single"/>
      <sz val="10"/>
      <color indexed="12"/>
      <name val="Arial"/>
    </font>
    <font>
      <b val="1"/>
      <sz val="16"/>
      <color indexed="12"/>
      <name val="Calibri"/>
    </font>
  </fonts>
  <fills count="11">
    <fill>
      <patternFill patternType="none"/>
    </fill>
    <fill>
      <patternFill patternType="gray125"/>
    </fill>
    <fill>
      <patternFill patternType="solid">
        <fgColor indexed="9"/>
        <bgColor auto="1"/>
      </patternFill>
    </fill>
    <fill>
      <patternFill patternType="solid">
        <fgColor indexed="12"/>
        <bgColor auto="1"/>
      </patternFill>
    </fill>
    <fill>
      <patternFill patternType="solid">
        <fgColor indexed="11"/>
        <bgColor auto="1"/>
      </patternFill>
    </fill>
    <fill>
      <patternFill patternType="solid">
        <fgColor indexed="13"/>
        <bgColor auto="1"/>
      </patternFill>
    </fill>
    <fill>
      <patternFill patternType="solid">
        <fgColor indexed="8"/>
        <bgColor auto="1"/>
      </patternFill>
    </fill>
    <fill>
      <patternFill patternType="solid">
        <fgColor indexed="20"/>
        <bgColor auto="1"/>
      </patternFill>
    </fill>
    <fill>
      <patternFill patternType="solid">
        <fgColor indexed="21"/>
        <bgColor auto="1"/>
      </patternFill>
    </fill>
    <fill>
      <patternFill patternType="solid">
        <fgColor indexed="22"/>
        <bgColor auto="1"/>
      </patternFill>
    </fill>
    <fill>
      <patternFill patternType="solid">
        <fgColor indexed="23"/>
        <bgColor auto="1"/>
      </patternFill>
    </fill>
  </fills>
  <borders count="117">
    <border>
      <left/>
      <right/>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style="thin">
        <color indexed="10"/>
      </left>
      <right/>
      <top/>
      <bottom/>
      <diagonal/>
    </border>
    <border>
      <left/>
      <right/>
      <top/>
      <bottom/>
      <diagonal/>
    </border>
    <border>
      <left/>
      <right style="thin">
        <color indexed="10"/>
      </right>
      <top/>
      <bottom/>
      <diagonal/>
    </border>
    <border>
      <left/>
      <right/>
      <top/>
      <bottom style="thin">
        <color indexed="8"/>
      </bottom>
      <diagonal/>
    </border>
    <border>
      <left style="thin">
        <color indexed="10"/>
      </left>
      <right style="thin">
        <color indexed="8"/>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10"/>
      </left>
      <right/>
      <top/>
      <bottom style="thin">
        <color indexed="10"/>
      </bottom>
      <diagonal/>
    </border>
    <border>
      <left/>
      <right/>
      <top/>
      <bottom style="thin">
        <color indexed="10"/>
      </bottom>
      <diagonal/>
    </border>
    <border>
      <left/>
      <right style="thin">
        <color indexed="10"/>
      </right>
      <top/>
      <bottom style="thin">
        <color indexed="10"/>
      </bottom>
      <diagonal/>
    </border>
    <border>
      <left/>
      <right/>
      <top/>
      <bottom style="medium">
        <color indexed="8"/>
      </bottom>
      <diagonal/>
    </border>
    <border>
      <left/>
      <right/>
      <top style="medium">
        <color indexed="8"/>
      </top>
      <bottom style="medium">
        <color indexed="8"/>
      </bottom>
      <diagonal/>
    </border>
    <border>
      <left style="thin">
        <color indexed="10"/>
      </left>
      <right/>
      <top/>
      <bottom style="medium">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style="thin">
        <color indexed="10"/>
      </left>
      <right/>
      <top style="medium">
        <color indexed="8"/>
      </top>
      <bottom style="thin">
        <color indexed="8"/>
      </bottom>
      <diagonal/>
    </border>
    <border>
      <left/>
      <right/>
      <top style="medium">
        <color indexed="8"/>
      </top>
      <bottom style="thin">
        <color indexed="8"/>
      </bottom>
      <diagonal/>
    </border>
    <border>
      <left style="thin">
        <color indexed="10"/>
      </left>
      <right/>
      <top style="thin">
        <color indexed="8"/>
      </top>
      <bottom/>
      <diagonal/>
    </border>
    <border>
      <left/>
      <right style="medium">
        <color indexed="8"/>
      </right>
      <top/>
      <bottom/>
      <diagonal/>
    </border>
    <border>
      <left style="medium">
        <color indexed="8"/>
      </left>
      <right/>
      <top style="medium">
        <color indexed="8"/>
      </top>
      <bottom/>
      <diagonal/>
    </border>
    <border>
      <left/>
      <right style="medium">
        <color indexed="8"/>
      </right>
      <top style="medium">
        <color indexed="8"/>
      </top>
      <bottom/>
      <diagonal/>
    </border>
    <border>
      <left style="medium">
        <color indexed="8"/>
      </left>
      <right/>
      <top/>
      <bottom style="medium">
        <color indexed="8"/>
      </bottom>
      <diagonal/>
    </border>
    <border>
      <left/>
      <right style="medium">
        <color indexed="8"/>
      </right>
      <top/>
      <bottom style="medium">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bottom/>
      <diagonal/>
    </border>
    <border>
      <left style="medium">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diagonal/>
    </border>
    <border>
      <left/>
      <right style="medium">
        <color indexed="8"/>
      </right>
      <top style="thin">
        <color indexed="8"/>
      </top>
      <bottom/>
      <diagonal/>
    </border>
    <border>
      <left style="medium">
        <color indexed="8"/>
      </left>
      <right style="thin">
        <color indexed="8"/>
      </right>
      <top/>
      <bottom/>
      <diagonal/>
    </border>
    <border>
      <left style="thin">
        <color indexed="8"/>
      </left>
      <right style="thin">
        <color indexed="8"/>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style="thin">
        <color indexed="8"/>
      </right>
      <top/>
      <bottom/>
      <diagonal/>
    </border>
    <border>
      <left style="medium">
        <color indexed="8"/>
      </left>
      <right/>
      <top/>
      <bottom style="thin">
        <color indexed="8"/>
      </bottom>
      <diagonal/>
    </border>
    <border>
      <left/>
      <right style="medium">
        <color indexed="8"/>
      </right>
      <top/>
      <bottom style="thin">
        <color indexed="8"/>
      </bottom>
      <diagonal/>
    </border>
    <border>
      <left style="thin">
        <color indexed="8"/>
      </left>
      <right style="medium">
        <color indexed="8"/>
      </right>
      <top style="thin">
        <color indexed="8"/>
      </top>
      <bottom style="thin">
        <color indexed="8"/>
      </bottom>
      <diagonal/>
    </border>
    <border>
      <left/>
      <right style="thin">
        <color indexed="8"/>
      </right>
      <top/>
      <bottom style="medium">
        <color indexed="8"/>
      </bottom>
      <diagonal/>
    </border>
    <border>
      <left style="thin">
        <color indexed="8"/>
      </left>
      <right style="medium">
        <color indexed="8"/>
      </right>
      <top style="thin">
        <color indexed="8"/>
      </top>
      <bottom style="medium">
        <color indexed="8"/>
      </bottom>
      <diagonal/>
    </border>
    <border>
      <left/>
      <right style="medium">
        <color indexed="8"/>
      </right>
      <top style="thin">
        <color indexed="8"/>
      </top>
      <bottom style="medium">
        <color indexed="8"/>
      </bottom>
      <diagonal/>
    </border>
    <border>
      <left/>
      <right/>
      <top style="medium">
        <color indexed="8"/>
      </top>
      <bottom/>
      <diagonal/>
    </border>
    <border>
      <left style="thin">
        <color indexed="10"/>
      </left>
      <right style="medium">
        <color indexed="8"/>
      </right>
      <top/>
      <bottom/>
      <diagonal/>
    </border>
    <border>
      <left style="medium">
        <color indexed="8"/>
      </left>
      <right style="medium">
        <color indexed="8"/>
      </right>
      <top/>
      <bottom/>
      <diagonal/>
    </border>
    <border>
      <left style="medium">
        <color indexed="8"/>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thin">
        <color indexed="8"/>
      </right>
      <top/>
      <bottom style="thin">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medium">
        <color indexed="8"/>
      </top>
      <bottom style="medium">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top style="thin">
        <color indexed="8"/>
      </top>
      <bottom style="medium">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thin">
        <color indexed="8"/>
      </top>
      <bottom/>
      <diagonal/>
    </border>
    <border>
      <left style="medium">
        <color indexed="8"/>
      </left>
      <right style="medium">
        <color indexed="8"/>
      </right>
      <top style="thin">
        <color indexed="8"/>
      </top>
      <bottom style="medium">
        <color indexed="8"/>
      </bottom>
      <diagonal/>
    </border>
    <border>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right style="thin">
        <color indexed="8"/>
      </right>
      <top style="medium">
        <color indexed="8"/>
      </top>
      <bottom/>
      <diagonal/>
    </border>
    <border>
      <left style="thin">
        <color indexed="8"/>
      </left>
      <right/>
      <top style="medium">
        <color indexed="8"/>
      </top>
      <bottom/>
      <diagonal/>
    </border>
    <border>
      <left style="thin">
        <color indexed="8"/>
      </left>
      <right/>
      <top/>
      <bottom style="medium">
        <color indexed="8"/>
      </bottom>
      <diagonal/>
    </border>
    <border>
      <left style="medium">
        <color indexed="8"/>
      </left>
      <right style="dashed">
        <color indexed="8"/>
      </right>
      <top style="medium">
        <color indexed="8"/>
      </top>
      <bottom/>
      <diagonal/>
    </border>
    <border>
      <left style="dashed">
        <color indexed="8"/>
      </left>
      <right/>
      <top style="medium">
        <color indexed="8"/>
      </top>
      <bottom/>
      <diagonal/>
    </border>
    <border>
      <left style="medium">
        <color indexed="8"/>
      </left>
      <right style="dashed">
        <color indexed="8"/>
      </right>
      <top/>
      <bottom style="thin">
        <color indexed="8"/>
      </bottom>
      <diagonal/>
    </border>
    <border>
      <left style="dashed">
        <color indexed="8"/>
      </left>
      <right/>
      <top/>
      <bottom style="thin">
        <color indexed="8"/>
      </bottom>
      <diagonal/>
    </border>
    <border>
      <left style="medium">
        <color indexed="8"/>
      </left>
      <right style="dashed">
        <color indexed="8"/>
      </right>
      <top style="thin">
        <color indexed="8"/>
      </top>
      <bottom/>
      <diagonal/>
    </border>
    <border>
      <left style="dashed">
        <color indexed="8"/>
      </left>
      <right/>
      <top style="thin">
        <color indexed="8"/>
      </top>
      <bottom/>
      <diagonal/>
    </border>
    <border>
      <left style="thin">
        <color indexed="10"/>
      </left>
      <right style="thin">
        <color indexed="10"/>
      </right>
      <top/>
      <bottom style="thin">
        <color indexed="10"/>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10"/>
      </top>
      <bottom style="thin">
        <color indexed="8"/>
      </bottom>
      <diagonal/>
    </border>
    <border>
      <left style="thin">
        <color indexed="10"/>
      </left>
      <right style="thin">
        <color indexed="10"/>
      </right>
      <top style="thin">
        <color indexed="8"/>
      </top>
      <bottom style="thin">
        <color indexed="10"/>
      </bottom>
      <diagonal/>
    </border>
    <border>
      <left style="thin">
        <color indexed="10"/>
      </left>
      <right/>
      <top style="thin">
        <color indexed="10"/>
      </top>
      <bottom style="medium">
        <color indexed="8"/>
      </bottom>
      <diagonal/>
    </border>
    <border>
      <left/>
      <right/>
      <top style="thin">
        <color indexed="10"/>
      </top>
      <bottom style="medium">
        <color indexed="8"/>
      </bottom>
      <diagonal/>
    </border>
    <border>
      <left style="thin">
        <color indexed="10"/>
      </left>
      <right/>
      <top style="medium">
        <color indexed="8"/>
      </top>
      <bottom/>
      <diagonal/>
    </border>
    <border>
      <left style="thin">
        <color indexed="10"/>
      </left>
      <right/>
      <top/>
      <bottom style="thin">
        <color indexed="8"/>
      </bottom>
      <diagonal/>
    </border>
    <border>
      <left/>
      <right style="thin">
        <color indexed="10"/>
      </right>
      <top/>
      <bottom style="thin">
        <color indexed="8"/>
      </bottom>
      <diagonal/>
    </border>
    <border>
      <left/>
      <right style="thin">
        <color indexed="10"/>
      </right>
      <top style="thin">
        <color indexed="8"/>
      </top>
      <bottom/>
      <diagonal/>
    </border>
    <border>
      <left style="thin">
        <color indexed="10"/>
      </left>
      <right style="thin">
        <color indexed="10"/>
      </right>
      <top/>
      <bottom style="thin">
        <color indexed="8"/>
      </bottom>
      <diagonal/>
    </border>
    <border>
      <left style="thin">
        <color indexed="10"/>
      </left>
      <right style="thin">
        <color indexed="10"/>
      </right>
      <top style="thin">
        <color indexed="8"/>
      </top>
      <bottom style="thin">
        <color indexed="8"/>
      </bottom>
      <diagonal/>
    </border>
    <border>
      <left style="thin">
        <color indexed="10"/>
      </left>
      <right style="thin">
        <color indexed="10"/>
      </right>
      <top style="thin">
        <color indexed="8"/>
      </top>
      <bottom/>
      <diagonal/>
    </border>
    <border>
      <left/>
      <right/>
      <top style="thin">
        <color indexed="8"/>
      </top>
      <bottom style="medium">
        <color indexed="8"/>
      </bottom>
      <diagonal/>
    </border>
    <border>
      <left style="medium">
        <color indexed="8"/>
      </left>
      <right style="thin">
        <color indexed="10"/>
      </right>
      <top/>
      <bottom/>
      <diagonal/>
    </border>
    <border>
      <left style="thin">
        <color indexed="8"/>
      </left>
      <right style="thin">
        <color indexed="10"/>
      </right>
      <top/>
      <bottom/>
      <diagonal/>
    </border>
    <border>
      <left style="medium">
        <color indexed="8"/>
      </left>
      <right/>
      <top style="thin">
        <color indexed="8"/>
      </top>
      <bottom style="medium">
        <color indexed="8"/>
      </bottom>
      <diagonal/>
    </border>
    <border>
      <left/>
      <right style="thin">
        <color indexed="8"/>
      </right>
      <top style="thin">
        <color indexed="8"/>
      </top>
      <bottom style="medium">
        <color indexed="8"/>
      </bottom>
      <diagonal/>
    </border>
    <border>
      <left/>
      <right style="thin">
        <color indexed="8"/>
      </right>
      <top style="medium">
        <color indexed="8"/>
      </top>
      <bottom style="thin">
        <color indexed="8"/>
      </bottom>
      <diagonal/>
    </border>
    <border>
      <left/>
      <right style="dashed">
        <color indexed="8"/>
      </right>
      <top style="thin">
        <color indexed="8"/>
      </top>
      <bottom/>
      <diagonal/>
    </border>
    <border>
      <left style="dashed">
        <color indexed="8"/>
      </left>
      <right style="dashed">
        <color indexed="8"/>
      </right>
      <top style="thin">
        <color indexed="8"/>
      </top>
      <bottom/>
      <diagonal/>
    </border>
    <border>
      <left style="dashed">
        <color indexed="8"/>
      </left>
      <right style="medium">
        <color indexed="8"/>
      </right>
      <top style="thin">
        <color indexed="8"/>
      </top>
      <bottom/>
      <diagonal/>
    </border>
    <border>
      <left/>
      <right style="dashed">
        <color indexed="8"/>
      </right>
      <top/>
      <bottom style="thin">
        <color indexed="8"/>
      </bottom>
      <diagonal/>
    </border>
    <border>
      <left style="dashed">
        <color indexed="8"/>
      </left>
      <right style="dashed">
        <color indexed="8"/>
      </right>
      <top/>
      <bottom style="thin">
        <color indexed="8"/>
      </bottom>
      <diagonal/>
    </border>
    <border>
      <left style="dashed">
        <color indexed="8"/>
      </left>
      <right style="medium">
        <color indexed="8"/>
      </right>
      <top/>
      <bottom style="thin">
        <color indexed="8"/>
      </bottom>
      <diagonal/>
    </border>
    <border>
      <left style="dashed">
        <color indexed="8"/>
      </left>
      <right style="thin">
        <color indexed="10"/>
      </right>
      <top/>
      <bottom/>
      <diagonal/>
    </border>
    <border>
      <left style="dashed">
        <color indexed="8"/>
      </left>
      <right/>
      <top/>
      <bottom style="medium">
        <color indexed="8"/>
      </bottom>
      <diagonal/>
    </border>
    <border>
      <left/>
      <right style="dashed">
        <color indexed="8"/>
      </right>
      <top/>
      <bottom style="medium">
        <color indexed="8"/>
      </bottom>
      <diagonal/>
    </border>
    <border>
      <left style="dashed">
        <color indexed="8"/>
      </left>
      <right style="dashed">
        <color indexed="8"/>
      </right>
      <top/>
      <bottom style="medium">
        <color indexed="8"/>
      </bottom>
      <diagonal/>
    </border>
    <border>
      <left style="dashed">
        <color indexed="8"/>
      </left>
      <right style="medium">
        <color indexed="8"/>
      </right>
      <top/>
      <bottom style="medium">
        <color indexed="8"/>
      </bottom>
      <diagonal/>
    </border>
    <border>
      <left/>
      <right/>
      <top style="medium">
        <color indexed="8"/>
      </top>
      <bottom style="thin">
        <color indexed="10"/>
      </bottom>
      <diagonal/>
    </border>
    <border>
      <left style="thin">
        <color indexed="10"/>
      </left>
      <right style="thin">
        <color indexed="10"/>
      </right>
      <top style="thin">
        <color indexed="10"/>
      </top>
      <bottom style="medium">
        <color indexed="8"/>
      </bottom>
      <diagonal/>
    </border>
    <border>
      <left style="thin">
        <color indexed="10"/>
      </left>
      <right style="thin">
        <color indexed="10"/>
      </right>
      <top style="medium">
        <color indexed="8"/>
      </top>
      <bottom style="thin">
        <color indexed="10"/>
      </bottom>
      <diagonal/>
    </border>
  </borders>
  <cellStyleXfs count="1">
    <xf numFmtId="0" fontId="0" applyNumberFormat="0" applyFont="1" applyFill="0" applyBorder="0" applyAlignment="1" applyProtection="0">
      <alignment vertical="bottom"/>
    </xf>
  </cellStyleXfs>
  <cellXfs count="1174">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0" fontId="0" fillId="2" borderId="1" applyNumberFormat="0" applyFont="1" applyFill="1" applyBorder="1" applyAlignment="1" applyProtection="0">
      <alignment vertical="bottom"/>
    </xf>
    <xf numFmtId="0" fontId="0" fillId="2" borderId="2" applyNumberFormat="0" applyFont="1" applyFill="1" applyBorder="1" applyAlignment="1" applyProtection="0">
      <alignment vertical="bottom"/>
    </xf>
    <xf numFmtId="0" fontId="0" fillId="2" borderId="3" applyNumberFormat="0" applyFont="1" applyFill="1" applyBorder="1" applyAlignment="1" applyProtection="0">
      <alignment vertical="bottom"/>
    </xf>
    <xf numFmtId="0" fontId="3" fillId="2" borderId="4" applyNumberFormat="0" applyFont="1" applyFill="1" applyBorder="1" applyAlignment="1" applyProtection="0">
      <alignment vertical="bottom"/>
    </xf>
    <xf numFmtId="0" fontId="4" fillId="2" borderId="5" applyNumberFormat="0" applyFont="1" applyFill="1" applyBorder="1" applyAlignment="1" applyProtection="0">
      <alignment vertical="bottom"/>
    </xf>
    <xf numFmtId="0" fontId="5" fillId="2" borderId="5" applyNumberFormat="0" applyFont="1" applyFill="1" applyBorder="1" applyAlignment="1" applyProtection="0">
      <alignment vertical="bottom"/>
    </xf>
    <xf numFmtId="0" fontId="3" fillId="2" borderId="5" applyNumberFormat="0" applyFont="1" applyFill="1" applyBorder="1" applyAlignment="1" applyProtection="0">
      <alignment vertical="bottom"/>
    </xf>
    <xf numFmtId="0" fontId="6" fillId="2" borderId="5" applyNumberFormat="0" applyFont="1" applyFill="1" applyBorder="1" applyAlignment="1" applyProtection="0">
      <alignment vertical="bottom"/>
    </xf>
    <xf numFmtId="0" fontId="3" fillId="2" borderId="6" applyNumberFormat="0" applyFont="1" applyFill="1" applyBorder="1" applyAlignment="1" applyProtection="0">
      <alignment vertical="bottom"/>
    </xf>
    <xf numFmtId="0" fontId="3" fillId="2" borderId="7" applyNumberFormat="0" applyFont="1" applyFill="1" applyBorder="1" applyAlignment="1" applyProtection="0">
      <alignment vertical="bottom"/>
    </xf>
    <xf numFmtId="0" fontId="5" fillId="2" borderId="8" applyNumberFormat="0" applyFont="1" applyFill="1" applyBorder="1" applyAlignment="1" applyProtection="0">
      <alignment vertical="bottom"/>
    </xf>
    <xf numFmtId="0" fontId="3" fillId="2" borderId="8" applyNumberFormat="0" applyFont="1" applyFill="1" applyBorder="1" applyAlignment="1" applyProtection="0">
      <alignment vertical="bottom"/>
    </xf>
    <xf numFmtId="0" fontId="6" fillId="2" borderId="8" applyNumberFormat="0" applyFont="1" applyFill="1" applyBorder="1" applyAlignment="1" applyProtection="0">
      <alignment vertical="bottom"/>
    </xf>
    <xf numFmtId="0" fontId="7" fillId="2" borderId="8" applyNumberFormat="0" applyFont="1" applyFill="1" applyBorder="1" applyAlignment="1" applyProtection="0">
      <alignment vertical="bottom"/>
    </xf>
    <xf numFmtId="0" fontId="7" fillId="2" borderId="9" applyNumberFormat="0" applyFont="1" applyFill="1" applyBorder="1" applyAlignment="1" applyProtection="0">
      <alignment vertical="bottom"/>
    </xf>
    <xf numFmtId="0" fontId="0" fillId="2" borderId="8" applyNumberFormat="0" applyFont="1" applyFill="1" applyBorder="1" applyAlignment="1" applyProtection="0">
      <alignment vertical="bottom"/>
    </xf>
    <xf numFmtId="0" fontId="8" fillId="2" borderId="8" applyNumberFormat="0" applyFont="1" applyFill="1" applyBorder="1" applyAlignment="1" applyProtection="0">
      <alignment vertical="bottom"/>
    </xf>
    <xf numFmtId="0" fontId="9" fillId="2" borderId="8" applyNumberFormat="0" applyFont="1" applyFill="1" applyBorder="1" applyAlignment="1" applyProtection="0">
      <alignment horizontal="right" vertical="bottom"/>
    </xf>
    <xf numFmtId="0" fontId="10" fillId="2" borderId="8" applyNumberFormat="0" applyFont="1" applyFill="1" applyBorder="1" applyAlignment="1" applyProtection="0">
      <alignment horizontal="right" vertical="bottom"/>
    </xf>
    <xf numFmtId="0" fontId="7" fillId="2" borderId="8" applyNumberFormat="0" applyFont="1" applyFill="1" applyBorder="1" applyAlignment="1" applyProtection="0">
      <alignment horizontal="center" vertical="bottom"/>
    </xf>
    <xf numFmtId="0" fontId="11" fillId="2" borderId="8" applyNumberFormat="0" applyFont="1" applyFill="1" applyBorder="1" applyAlignment="1" applyProtection="0">
      <alignment vertical="bottom"/>
    </xf>
    <xf numFmtId="0" fontId="12" fillId="2" borderId="8" applyNumberFormat="0" applyFont="1" applyFill="1" applyBorder="1" applyAlignment="1" applyProtection="0">
      <alignment horizontal="center" vertical="bottom"/>
    </xf>
    <xf numFmtId="0" fontId="13" fillId="2" borderId="8" applyNumberFormat="0" applyFont="1" applyFill="1" applyBorder="1" applyAlignment="1" applyProtection="0">
      <alignment vertical="bottom"/>
    </xf>
    <xf numFmtId="0" fontId="14" fillId="2" borderId="8" applyNumberFormat="0" applyFont="1" applyFill="1" applyBorder="1" applyAlignment="1" applyProtection="0">
      <alignment vertical="bottom"/>
    </xf>
    <xf numFmtId="0" fontId="15" fillId="2" borderId="8" applyNumberFormat="0" applyFont="1" applyFill="1" applyBorder="1" applyAlignment="1" applyProtection="0">
      <alignment vertical="bottom"/>
    </xf>
    <xf numFmtId="0" fontId="16" fillId="2" borderId="8" applyNumberFormat="0" applyFont="1" applyFill="1" applyBorder="1" applyAlignment="1" applyProtection="0">
      <alignment vertical="bottom"/>
    </xf>
    <xf numFmtId="0" fontId="12" fillId="2" borderId="9" applyNumberFormat="0" applyFont="1" applyFill="1" applyBorder="1" applyAlignment="1" applyProtection="0">
      <alignment vertical="bottom"/>
    </xf>
    <xf numFmtId="0" fontId="3" fillId="2" borderId="9" applyNumberFormat="0" applyFont="1" applyFill="1" applyBorder="1" applyAlignment="1" applyProtection="0">
      <alignment vertical="bottom"/>
    </xf>
    <xf numFmtId="0" fontId="17" fillId="2" borderId="7" applyNumberFormat="0" applyFont="1" applyFill="1" applyBorder="1" applyAlignment="1" applyProtection="0">
      <alignment vertical="bottom"/>
    </xf>
    <xf numFmtId="0" fontId="18" fillId="2" borderId="8" applyNumberFormat="0" applyFont="1" applyFill="1" applyBorder="1" applyAlignment="1" applyProtection="0">
      <alignment vertical="bottom"/>
    </xf>
    <xf numFmtId="0" fontId="19" fillId="2" borderId="8" applyNumberFormat="0" applyFont="1" applyFill="1" applyBorder="1" applyAlignment="1" applyProtection="0">
      <alignment horizontal="center" vertical="bottom"/>
    </xf>
    <xf numFmtId="0" fontId="0" fillId="2" borderId="8" applyNumberFormat="0" applyFont="1" applyFill="1" applyBorder="1" applyAlignment="1" applyProtection="0">
      <alignment horizontal="center" vertical="bottom"/>
    </xf>
    <xf numFmtId="0" fontId="18" fillId="2" borderId="7" applyNumberFormat="0" applyFont="1" applyFill="1" applyBorder="1" applyAlignment="1" applyProtection="0">
      <alignment vertical="bottom"/>
    </xf>
    <xf numFmtId="0" fontId="18" fillId="2" borderId="10" applyNumberFormat="0" applyFont="1" applyFill="1" applyBorder="1" applyAlignment="1" applyProtection="0">
      <alignment vertical="bottom"/>
    </xf>
    <xf numFmtId="0" fontId="19" fillId="2" borderId="10" applyNumberFormat="0" applyFont="1" applyFill="1" applyBorder="1" applyAlignment="1" applyProtection="0">
      <alignment horizontal="center" vertical="bottom"/>
    </xf>
    <xf numFmtId="49" fontId="20" fillId="2" borderId="8" applyNumberFormat="1" applyFont="1" applyFill="1" applyBorder="1" applyAlignment="1" applyProtection="0">
      <alignment vertical="bottom"/>
    </xf>
    <xf numFmtId="0" fontId="3" fillId="2" borderId="11" applyNumberFormat="0" applyFont="1" applyFill="1" applyBorder="1" applyAlignment="1" applyProtection="0">
      <alignment vertical="bottom"/>
    </xf>
    <xf numFmtId="49" fontId="21" fillId="3" borderId="12" applyNumberFormat="1" applyFont="1" applyFill="1" applyBorder="1" applyAlignment="1" applyProtection="0">
      <alignment vertical="bottom"/>
    </xf>
    <xf numFmtId="0" fontId="3" fillId="3" borderId="13" applyNumberFormat="0" applyFont="1" applyFill="1" applyBorder="1" applyAlignment="1" applyProtection="0">
      <alignment vertical="bottom"/>
    </xf>
    <xf numFmtId="0" fontId="11" fillId="3" borderId="13" applyNumberFormat="0" applyFont="1" applyFill="1" applyBorder="1" applyAlignment="1" applyProtection="0">
      <alignment vertical="bottom"/>
    </xf>
    <xf numFmtId="0" fontId="22" fillId="3" borderId="13" applyNumberFormat="0" applyFont="1" applyFill="1" applyBorder="1" applyAlignment="1" applyProtection="0">
      <alignment vertical="center"/>
    </xf>
    <xf numFmtId="0" fontId="19" fillId="3" borderId="13" applyNumberFormat="0" applyFont="1" applyFill="1" applyBorder="1" applyAlignment="1" applyProtection="0">
      <alignment vertical="bottom"/>
    </xf>
    <xf numFmtId="49" fontId="23" fillId="3" borderId="14" applyNumberFormat="1" applyFont="1" applyFill="1" applyBorder="1" applyAlignment="1" applyProtection="0">
      <alignment horizontal="right" vertical="bottom"/>
    </xf>
    <xf numFmtId="0" fontId="23" fillId="2" borderId="15" applyNumberFormat="0" applyFont="1" applyFill="1" applyBorder="1" applyAlignment="1" applyProtection="0">
      <alignment horizontal="right" vertical="bottom"/>
    </xf>
    <xf numFmtId="0" fontId="24" fillId="2" borderId="8" applyNumberFormat="0" applyFont="1" applyFill="1" applyBorder="1" applyAlignment="1" applyProtection="0">
      <alignment vertical="bottom"/>
    </xf>
    <xf numFmtId="0" fontId="24" fillId="2" borderId="9" applyNumberFormat="0" applyFont="1" applyFill="1" applyBorder="1" applyAlignment="1" applyProtection="0">
      <alignment vertical="bottom"/>
    </xf>
    <xf numFmtId="0" fontId="0" fillId="4" borderId="12" applyNumberFormat="0" applyFont="1" applyFill="1" applyBorder="1" applyAlignment="1" applyProtection="0">
      <alignment vertical="bottom"/>
    </xf>
    <xf numFmtId="0" fontId="3" fillId="4" borderId="13" applyNumberFormat="0" applyFont="1" applyFill="1" applyBorder="1" applyAlignment="1" applyProtection="0">
      <alignment vertical="bottom"/>
    </xf>
    <xf numFmtId="0" fontId="11" fillId="4" borderId="13" applyNumberFormat="0" applyFont="1" applyFill="1" applyBorder="1" applyAlignment="1" applyProtection="0">
      <alignment vertical="bottom"/>
    </xf>
    <xf numFmtId="0" fontId="0" fillId="4" borderId="13" applyNumberFormat="0" applyFont="1" applyFill="1" applyBorder="1" applyAlignment="1" applyProtection="0">
      <alignment vertical="bottom"/>
    </xf>
    <xf numFmtId="0" fontId="3" fillId="4" borderId="14" applyNumberFormat="0" applyFont="1" applyFill="1" applyBorder="1" applyAlignment="1" applyProtection="0">
      <alignment vertical="bottom"/>
    </xf>
    <xf numFmtId="0" fontId="3" fillId="2" borderId="15" applyNumberFormat="0" applyFont="1" applyFill="1" applyBorder="1" applyAlignment="1" applyProtection="0">
      <alignment vertical="bottom"/>
    </xf>
    <xf numFmtId="0" fontId="0" fillId="5" borderId="12" applyNumberFormat="0" applyFont="1" applyFill="1" applyBorder="1" applyAlignment="1" applyProtection="0">
      <alignment vertical="bottom"/>
    </xf>
    <xf numFmtId="0" fontId="3" fillId="5" borderId="13" applyNumberFormat="0" applyFont="1" applyFill="1" applyBorder="1" applyAlignment="1" applyProtection="0">
      <alignment vertical="bottom"/>
    </xf>
    <xf numFmtId="0" fontId="11" fillId="5" borderId="13" applyNumberFormat="0" applyFont="1" applyFill="1" applyBorder="1" applyAlignment="1" applyProtection="0">
      <alignment vertical="bottom"/>
    </xf>
    <xf numFmtId="0" fontId="0" fillId="5" borderId="13" applyNumberFormat="0" applyFont="1" applyFill="1" applyBorder="1" applyAlignment="1" applyProtection="0">
      <alignment vertical="bottom"/>
    </xf>
    <xf numFmtId="0" fontId="3" fillId="5" borderId="14" applyNumberFormat="0" applyFont="1" applyFill="1" applyBorder="1" applyAlignment="1" applyProtection="0">
      <alignment vertical="bottom"/>
    </xf>
    <xf numFmtId="0" fontId="0" fillId="3" borderId="16" applyNumberFormat="0" applyFont="1" applyFill="1" applyBorder="1" applyAlignment="1" applyProtection="0">
      <alignment vertical="bottom"/>
    </xf>
    <xf numFmtId="0" fontId="0" fillId="3" borderId="17" applyNumberFormat="0" applyFont="1" applyFill="1" applyBorder="1" applyAlignment="1" applyProtection="0">
      <alignment vertical="bottom"/>
    </xf>
    <xf numFmtId="0" fontId="3" fillId="3" borderId="17" applyNumberFormat="0" applyFont="1" applyFill="1" applyBorder="1" applyAlignment="1" applyProtection="0">
      <alignment vertical="bottom"/>
    </xf>
    <xf numFmtId="0" fontId="19" fillId="3" borderId="17" applyNumberFormat="0" applyFont="1" applyFill="1" applyBorder="1" applyAlignment="1" applyProtection="0">
      <alignment vertical="bottom"/>
    </xf>
    <xf numFmtId="0" fontId="3" fillId="3" borderId="18" applyNumberFormat="0" applyFont="1" applyFill="1" applyBorder="1" applyAlignment="1" applyProtection="0">
      <alignment vertical="bottom"/>
    </xf>
    <xf numFmtId="49" fontId="25" fillId="3" borderId="15" applyNumberFormat="1" applyFont="1" applyFill="1" applyBorder="1" applyAlignment="1" applyProtection="0">
      <alignment vertical="bottom"/>
    </xf>
    <xf numFmtId="0" fontId="3" fillId="3" borderId="8" applyNumberFormat="0" applyFont="1" applyFill="1" applyBorder="1" applyAlignment="1" applyProtection="0">
      <alignment vertical="bottom"/>
    </xf>
    <xf numFmtId="0" fontId="0" fillId="3" borderId="8" applyNumberFormat="0" applyFont="1" applyFill="1" applyBorder="1" applyAlignment="1" applyProtection="0">
      <alignment vertical="bottom"/>
    </xf>
    <xf numFmtId="0" fontId="26" fillId="3" borderId="8" applyNumberFormat="0" applyFont="1" applyFill="1" applyBorder="1" applyAlignment="1" applyProtection="0">
      <alignment vertical="bottom"/>
    </xf>
    <xf numFmtId="0" fontId="27" fillId="3" borderId="8" applyNumberFormat="0" applyFont="1" applyFill="1" applyBorder="1" applyAlignment="1" applyProtection="0">
      <alignment vertical="bottom"/>
    </xf>
    <xf numFmtId="0" fontId="3" fillId="3" borderId="19" applyNumberFormat="0" applyFont="1" applyFill="1" applyBorder="1" applyAlignment="1" applyProtection="0">
      <alignment vertical="bottom"/>
    </xf>
    <xf numFmtId="0" fontId="28" fillId="3" borderId="15" applyNumberFormat="0" applyFont="1" applyFill="1" applyBorder="1" applyAlignment="1" applyProtection="0">
      <alignment vertical="bottom"/>
    </xf>
    <xf numFmtId="0" fontId="29" fillId="3" borderId="8" applyNumberFormat="0" applyFont="1" applyFill="1" applyBorder="1" applyAlignment="1" applyProtection="0">
      <alignment vertical="bottom"/>
    </xf>
    <xf numFmtId="49" fontId="28" fillId="3" borderId="15" applyNumberFormat="1" applyFont="1" applyFill="1" applyBorder="1" applyAlignment="1" applyProtection="0">
      <alignment vertical="bottom"/>
    </xf>
    <xf numFmtId="49" fontId="30" fillId="3" borderId="8" applyNumberFormat="1" applyFont="1" applyFill="1" applyBorder="1" applyAlignment="1" applyProtection="0">
      <alignment vertical="bottom"/>
    </xf>
    <xf numFmtId="0" fontId="19" fillId="3" borderId="8" applyNumberFormat="0" applyFont="1" applyFill="1" applyBorder="1" applyAlignment="1" applyProtection="0">
      <alignment vertical="bottom"/>
    </xf>
    <xf numFmtId="49" fontId="31" fillId="3" borderId="15" applyNumberFormat="1" applyFont="1" applyFill="1" applyBorder="1" applyAlignment="1" applyProtection="0">
      <alignment horizontal="right" vertical="bottom"/>
    </xf>
    <xf numFmtId="0" fontId="30" fillId="3" borderId="8" applyNumberFormat="0" applyFont="1" applyFill="1" applyBorder="1" applyAlignment="1" applyProtection="0">
      <alignment vertical="bottom"/>
    </xf>
    <xf numFmtId="0" fontId="19" fillId="3" borderId="15" applyNumberFormat="0" applyFont="1" applyFill="1" applyBorder="1" applyAlignment="1" applyProtection="0">
      <alignment vertical="bottom"/>
    </xf>
    <xf numFmtId="49" fontId="10" fillId="3" borderId="8" applyNumberFormat="1" applyFont="1" applyFill="1" applyBorder="1" applyAlignment="1" applyProtection="0">
      <alignment horizontal="right" vertical="bottom"/>
    </xf>
    <xf numFmtId="0" fontId="19" fillId="3" borderId="20" applyNumberFormat="0" applyFont="1" applyFill="1" applyBorder="1" applyAlignment="1" applyProtection="0">
      <alignment vertical="bottom"/>
    </xf>
    <xf numFmtId="0" fontId="32" fillId="3" borderId="10" applyNumberFormat="0" applyFont="1" applyFill="1" applyBorder="1" applyAlignment="1" applyProtection="0">
      <alignment vertical="bottom"/>
    </xf>
    <xf numFmtId="0" fontId="3" fillId="3" borderId="10" applyNumberFormat="0" applyFont="1" applyFill="1" applyBorder="1" applyAlignment="1" applyProtection="0">
      <alignment vertical="bottom"/>
    </xf>
    <xf numFmtId="49" fontId="30" fillId="3" borderId="10" applyNumberFormat="1" applyFont="1" applyFill="1" applyBorder="1" applyAlignment="1" applyProtection="0">
      <alignment vertical="bottom"/>
    </xf>
    <xf numFmtId="0" fontId="29" fillId="3" borderId="10" applyNumberFormat="0" applyFont="1" applyFill="1" applyBorder="1" applyAlignment="1" applyProtection="0">
      <alignment vertical="bottom"/>
    </xf>
    <xf numFmtId="0" fontId="3" fillId="3" borderId="21" applyNumberFormat="0" applyFont="1" applyFill="1" applyBorder="1" applyAlignment="1" applyProtection="0">
      <alignment vertical="bottom"/>
    </xf>
    <xf numFmtId="49" fontId="3" fillId="2" borderId="17" applyNumberFormat="1" applyFont="1" applyFill="1" applyBorder="1" applyAlignment="1" applyProtection="0">
      <alignment horizontal="left" vertical="bottom"/>
    </xf>
    <xf numFmtId="0" fontId="3" fillId="2" borderId="17" applyNumberFormat="0" applyFont="1" applyFill="1" applyBorder="1" applyAlignment="1" applyProtection="0">
      <alignment vertical="bottom"/>
    </xf>
    <xf numFmtId="0" fontId="29" fillId="2" borderId="17" applyNumberFormat="0" applyFont="1" applyFill="1" applyBorder="1" applyAlignment="1" applyProtection="0">
      <alignment vertical="bottom"/>
    </xf>
    <xf numFmtId="49" fontId="19" fillId="2" borderId="17" applyNumberFormat="1" applyFont="1" applyFill="1" applyBorder="1" applyAlignment="1" applyProtection="0">
      <alignment vertical="bottom"/>
    </xf>
    <xf numFmtId="0" fontId="0" fillId="2" borderId="7" applyNumberFormat="0" applyFont="1" applyFill="1" applyBorder="1" applyAlignment="1" applyProtection="0">
      <alignment vertical="bottom"/>
    </xf>
    <xf numFmtId="0" fontId="19" fillId="2" borderId="8" applyNumberFormat="0" applyFont="1" applyFill="1" applyBorder="1" applyAlignment="1" applyProtection="0">
      <alignment vertical="bottom"/>
    </xf>
    <xf numFmtId="0" fontId="33" fillId="2" borderId="8" applyNumberFormat="0" applyFont="1" applyFill="1" applyBorder="1" applyAlignment="1" applyProtection="0">
      <alignment vertical="bottom"/>
    </xf>
    <xf numFmtId="49" fontId="16" fillId="2" borderId="8" applyNumberFormat="1" applyFont="1" applyFill="1" applyBorder="1" applyAlignment="1" applyProtection="0">
      <alignment horizontal="left" vertical="bottom"/>
    </xf>
    <xf numFmtId="0" fontId="26" fillId="2" borderId="8" applyNumberFormat="0" applyFont="1" applyFill="1" applyBorder="1" applyAlignment="1" applyProtection="0">
      <alignment horizontal="left" vertical="bottom"/>
    </xf>
    <xf numFmtId="49" fontId="19" fillId="2" borderId="8" applyNumberFormat="1" applyFont="1" applyFill="1" applyBorder="1" applyAlignment="1" applyProtection="0">
      <alignment vertical="bottom"/>
    </xf>
    <xf numFmtId="0" fontId="32" fillId="2" borderId="8" applyNumberFormat="0" applyFont="1" applyFill="1" applyBorder="1" applyAlignment="1" applyProtection="0">
      <alignment horizontal="left" vertical="bottom"/>
    </xf>
    <xf numFmtId="0" fontId="3" fillId="2" borderId="8" applyNumberFormat="0" applyFont="1" applyFill="1" applyBorder="1" applyAlignment="1" applyProtection="0">
      <alignment horizontal="right" vertical="bottom"/>
    </xf>
    <xf numFmtId="0" fontId="32" fillId="2" borderId="9" applyNumberFormat="0" applyFont="1" applyFill="1" applyBorder="1" applyAlignment="1" applyProtection="0">
      <alignment vertical="bottom"/>
    </xf>
    <xf numFmtId="0" fontId="20" fillId="2" borderId="8" applyNumberFormat="0" applyFont="1" applyFill="1" applyBorder="1" applyAlignment="1" applyProtection="0">
      <alignment vertical="bottom"/>
    </xf>
    <xf numFmtId="0" fontId="16" fillId="2" borderId="8" applyNumberFormat="0" applyFont="1" applyFill="1" applyBorder="1" applyAlignment="1" applyProtection="0">
      <alignment horizontal="left" vertical="bottom"/>
    </xf>
    <xf numFmtId="0" fontId="3" fillId="2" borderId="22" applyNumberFormat="0" applyFont="1" applyFill="1" applyBorder="1" applyAlignment="1" applyProtection="0">
      <alignment vertical="bottom"/>
    </xf>
    <xf numFmtId="0" fontId="3" fillId="2" borderId="23" applyNumberFormat="0" applyFont="1" applyFill="1" applyBorder="1" applyAlignment="1" applyProtection="0">
      <alignment vertical="bottom"/>
    </xf>
    <xf numFmtId="0" fontId="6" fillId="2" borderId="23" applyNumberFormat="0" applyFont="1" applyFill="1" applyBorder="1" applyAlignment="1" applyProtection="0">
      <alignment vertical="bottom"/>
    </xf>
    <xf numFmtId="0" fontId="3" fillId="2" borderId="24" applyNumberFormat="0" applyFont="1" applyFill="1" applyBorder="1" applyAlignment="1" applyProtection="0">
      <alignment vertical="bottom"/>
    </xf>
    <xf numFmtId="0" fontId="0" applyNumberFormat="1" applyFont="1" applyFill="0" applyBorder="0" applyAlignment="1" applyProtection="0">
      <alignment vertical="bottom"/>
    </xf>
    <xf numFmtId="0" fontId="9" fillId="3" borderId="4" applyNumberFormat="0" applyFont="1" applyFill="1" applyBorder="1" applyAlignment="1" applyProtection="0">
      <alignment vertical="center"/>
    </xf>
    <xf numFmtId="0" fontId="35" fillId="3" borderId="5" applyNumberFormat="0" applyFont="1" applyFill="1" applyBorder="1" applyAlignment="1" applyProtection="0">
      <alignment vertical="center"/>
    </xf>
    <xf numFmtId="0" fontId="19" fillId="3" borderId="5" applyNumberFormat="0" applyFont="1" applyFill="1" applyBorder="1" applyAlignment="1" applyProtection="0">
      <alignment vertical="bottom"/>
    </xf>
    <xf numFmtId="0" fontId="36" fillId="6" borderId="5" applyNumberFormat="0" applyFont="1" applyFill="1" applyBorder="1" applyAlignment="1" applyProtection="0">
      <alignment vertical="bottom"/>
    </xf>
    <xf numFmtId="0" fontId="28" fillId="6" borderId="5" applyNumberFormat="0" applyFont="1" applyFill="1" applyBorder="1" applyAlignment="1" applyProtection="0">
      <alignment vertical="bottom"/>
    </xf>
    <xf numFmtId="0" fontId="28" fillId="6" borderId="5" applyNumberFormat="0" applyFont="1" applyFill="1" applyBorder="1" applyAlignment="1" applyProtection="0">
      <alignment horizontal="center" vertical="bottom"/>
    </xf>
    <xf numFmtId="0" fontId="27" fillId="6" borderId="5" applyNumberFormat="0" applyFont="1" applyFill="1" applyBorder="1" applyAlignment="1" applyProtection="0">
      <alignment vertical="bottom"/>
    </xf>
    <xf numFmtId="0" fontId="0" fillId="6" borderId="5" applyNumberFormat="0" applyFont="1" applyFill="1" applyBorder="1" applyAlignment="1" applyProtection="0">
      <alignment vertical="bottom"/>
    </xf>
    <xf numFmtId="0" fontId="0" fillId="6" borderId="6" applyNumberFormat="0" applyFont="1" applyFill="1" applyBorder="1" applyAlignment="1" applyProtection="0">
      <alignment vertical="bottom"/>
    </xf>
    <xf numFmtId="0" fontId="35" fillId="3" borderId="7" applyNumberFormat="0" applyFont="1" applyFill="1" applyBorder="1" applyAlignment="1" applyProtection="0">
      <alignment vertical="center"/>
    </xf>
    <xf numFmtId="0" fontId="35" fillId="3" borderId="8" applyNumberFormat="0" applyFont="1" applyFill="1" applyBorder="1" applyAlignment="1" applyProtection="0">
      <alignment vertical="center"/>
    </xf>
    <xf numFmtId="49" fontId="26" fillId="3" borderId="8" applyNumberFormat="1" applyFont="1" applyFill="1" applyBorder="1" applyAlignment="1" applyProtection="0">
      <alignment horizontal="right" vertical="bottom"/>
    </xf>
    <xf numFmtId="0" fontId="28" fillId="3" borderId="25" applyNumberFormat="0" applyFont="1" applyFill="1" applyBorder="1" applyAlignment="1" applyProtection="0">
      <alignment vertical="bottom"/>
    </xf>
    <xf numFmtId="0" fontId="36" fillId="6" borderId="8" applyNumberFormat="0" applyFont="1" applyFill="1" applyBorder="1" applyAlignment="1" applyProtection="0">
      <alignment vertical="bottom"/>
    </xf>
    <xf numFmtId="14" fontId="26" fillId="6" borderId="8" applyNumberFormat="1" applyFont="1" applyFill="1" applyBorder="1" applyAlignment="1" applyProtection="0">
      <alignment horizontal="left" vertical="bottom"/>
    </xf>
    <xf numFmtId="0" fontId="28" fillId="6" borderId="8" applyNumberFormat="0" applyFont="1" applyFill="1" applyBorder="1" applyAlignment="1" applyProtection="0">
      <alignment horizontal="center" vertical="bottom"/>
    </xf>
    <xf numFmtId="0" fontId="27" fillId="6" borderId="8" applyNumberFormat="0" applyFont="1" applyFill="1" applyBorder="1" applyAlignment="1" applyProtection="0">
      <alignment vertical="bottom"/>
    </xf>
    <xf numFmtId="0" fontId="19" fillId="6" borderId="8" applyNumberFormat="0" applyFont="1" applyFill="1" applyBorder="1" applyAlignment="1" applyProtection="0">
      <alignment horizontal="center" vertical="bottom"/>
    </xf>
    <xf numFmtId="0" fontId="0" fillId="6" borderId="8" applyNumberFormat="0" applyFont="1" applyFill="1" applyBorder="1" applyAlignment="1" applyProtection="0">
      <alignment vertical="bottom"/>
    </xf>
    <xf numFmtId="0" fontId="0" fillId="6" borderId="9" applyNumberFormat="0" applyFont="1" applyFill="1" applyBorder="1" applyAlignment="1" applyProtection="0">
      <alignment vertical="bottom"/>
    </xf>
    <xf numFmtId="0" fontId="19" fillId="3" borderId="7" applyNumberFormat="0" applyFont="1" applyFill="1" applyBorder="1" applyAlignment="1" applyProtection="0">
      <alignment vertical="bottom"/>
    </xf>
    <xf numFmtId="0" fontId="28" fillId="3" borderId="26" applyNumberFormat="0" applyFont="1" applyFill="1" applyBorder="1" applyAlignment="1" applyProtection="0">
      <alignment vertical="bottom"/>
    </xf>
    <xf numFmtId="0" fontId="28" fillId="6" borderId="8" applyNumberFormat="0" applyFont="1" applyFill="1" applyBorder="1" applyAlignment="1" applyProtection="0">
      <alignment vertical="bottom"/>
    </xf>
    <xf numFmtId="0" fontId="28" fillId="6" borderId="8" applyNumberFormat="1" applyFont="1" applyFill="1" applyBorder="1" applyAlignment="1" applyProtection="0">
      <alignment horizontal="center" vertical="bottom"/>
    </xf>
    <xf numFmtId="0" fontId="36" fillId="3" borderId="7" applyNumberFormat="0" applyFont="1" applyFill="1" applyBorder="1" applyAlignment="1" applyProtection="0">
      <alignment vertical="bottom"/>
    </xf>
    <xf numFmtId="0" fontId="36" fillId="3" borderId="8" applyNumberFormat="0" applyFont="1" applyFill="1" applyBorder="1" applyAlignment="1" applyProtection="0">
      <alignment vertical="bottom"/>
    </xf>
    <xf numFmtId="0" fontId="36" fillId="3" borderId="8" applyNumberFormat="0" applyFont="1" applyFill="1" applyBorder="1" applyAlignment="1" applyProtection="0">
      <alignment horizontal="left" vertical="bottom"/>
    </xf>
    <xf numFmtId="0" fontId="19" fillId="6" borderId="8" applyNumberFormat="1" applyFont="1" applyFill="1" applyBorder="1" applyAlignment="1" applyProtection="0">
      <alignment vertical="bottom"/>
    </xf>
    <xf numFmtId="0" fontId="36" fillId="6" borderId="8" applyNumberFormat="1" applyFont="1" applyFill="1" applyBorder="1" applyAlignment="1" applyProtection="0">
      <alignment vertical="bottom"/>
    </xf>
    <xf numFmtId="0" fontId="36" fillId="3" borderId="8" applyNumberFormat="0" applyFont="1" applyFill="1" applyBorder="1" applyAlignment="1" applyProtection="0">
      <alignment horizontal="center" vertical="bottom"/>
    </xf>
    <xf numFmtId="59" fontId="28" fillId="6" borderId="8" applyNumberFormat="1" applyFont="1" applyFill="1" applyBorder="1" applyAlignment="1" applyProtection="0">
      <alignment vertical="bottom"/>
    </xf>
    <xf numFmtId="0" fontId="0" fillId="6" borderId="8" applyNumberFormat="1" applyFont="1" applyFill="1" applyBorder="1" applyAlignment="1" applyProtection="0">
      <alignment vertical="bottom"/>
    </xf>
    <xf numFmtId="49" fontId="0" fillId="6" borderId="9" applyNumberFormat="1" applyFont="1" applyFill="1" applyBorder="1" applyAlignment="1" applyProtection="0">
      <alignment vertical="bottom"/>
    </xf>
    <xf numFmtId="0" fontId="11" fillId="3" borderId="8" applyNumberFormat="0" applyFont="1" applyFill="1" applyBorder="1" applyAlignment="1" applyProtection="0">
      <alignment vertical="bottom"/>
    </xf>
    <xf numFmtId="49" fontId="8" fillId="3" borderId="8" applyNumberFormat="1" applyFont="1" applyFill="1" applyBorder="1" applyAlignment="1" applyProtection="0">
      <alignment horizontal="right" vertical="bottom"/>
    </xf>
    <xf numFmtId="0" fontId="37" fillId="3" borderId="26" applyNumberFormat="0" applyFont="1" applyFill="1" applyBorder="1" applyAlignment="1" applyProtection="0">
      <alignment vertical="bottom"/>
    </xf>
    <xf numFmtId="49" fontId="28" fillId="6" borderId="8" applyNumberFormat="1" applyFont="1" applyFill="1" applyBorder="1" applyAlignment="1" applyProtection="0">
      <alignment horizontal="center" vertical="bottom"/>
    </xf>
    <xf numFmtId="49" fontId="38" fillId="3" borderId="8" applyNumberFormat="1" applyFont="1" applyFill="1" applyBorder="1" applyAlignment="1" applyProtection="0">
      <alignment vertical="bottom"/>
    </xf>
    <xf numFmtId="0" fontId="36" fillId="3" borderId="27" applyNumberFormat="0" applyFont="1" applyFill="1" applyBorder="1" applyAlignment="1" applyProtection="0">
      <alignment vertical="bottom"/>
    </xf>
    <xf numFmtId="0" fontId="36" fillId="3" borderId="25" applyNumberFormat="0" applyFont="1" applyFill="1" applyBorder="1" applyAlignment="1" applyProtection="0">
      <alignment vertical="bottom"/>
    </xf>
    <xf numFmtId="0" fontId="36" fillId="3" borderId="25" applyNumberFormat="0" applyFont="1" applyFill="1" applyBorder="1" applyAlignment="1" applyProtection="0">
      <alignment horizontal="center" vertical="bottom"/>
    </xf>
    <xf numFmtId="49" fontId="26" fillId="3" borderId="25" applyNumberFormat="1" applyFont="1" applyFill="1" applyBorder="1" applyAlignment="1" applyProtection="0">
      <alignment horizontal="right" vertical="bottom"/>
    </xf>
    <xf numFmtId="0" fontId="19" fillId="6" borderId="8" applyNumberFormat="0" applyFont="1" applyFill="1" applyBorder="1" applyAlignment="1" applyProtection="0">
      <alignment vertical="bottom"/>
    </xf>
    <xf numFmtId="0" fontId="39" fillId="4" borderId="28" applyNumberFormat="0" applyFont="1" applyFill="1" applyBorder="1" applyAlignment="1" applyProtection="0">
      <alignment vertical="bottom"/>
    </xf>
    <xf numFmtId="49" fontId="40" fillId="4" borderId="26" applyNumberFormat="1" applyFont="1" applyFill="1" applyBorder="1" applyAlignment="1" applyProtection="0">
      <alignment vertical="center"/>
    </xf>
    <xf numFmtId="0" fontId="41" fillId="4" borderId="26" applyNumberFormat="0" applyFont="1" applyFill="1" applyBorder="1" applyAlignment="1" applyProtection="0">
      <alignment vertical="center"/>
    </xf>
    <xf numFmtId="0" fontId="39" fillId="4" borderId="26" applyNumberFormat="0" applyFont="1" applyFill="1" applyBorder="1" applyAlignment="1" applyProtection="0">
      <alignment horizontal="center" vertical="bottom"/>
    </xf>
    <xf numFmtId="0" fontId="39" fillId="4" borderId="26" applyNumberFormat="0" applyFont="1" applyFill="1" applyBorder="1" applyAlignment="1" applyProtection="0">
      <alignment vertical="bottom"/>
    </xf>
    <xf numFmtId="49" fontId="42" fillId="4" borderId="29" applyNumberFormat="1" applyFont="1" applyFill="1" applyBorder="1" applyAlignment="1" applyProtection="0">
      <alignment horizontal="center" vertical="bottom"/>
    </xf>
    <xf numFmtId="0" fontId="36" fillId="6" borderId="30" applyNumberFormat="0" applyFont="1" applyFill="1" applyBorder="1" applyAlignment="1" applyProtection="0">
      <alignment vertical="bottom"/>
    </xf>
    <xf numFmtId="59" fontId="19" fillId="6" borderId="8" applyNumberFormat="1" applyFont="1" applyFill="1" applyBorder="1" applyAlignment="1" applyProtection="0">
      <alignment vertical="bottom"/>
    </xf>
    <xf numFmtId="0" fontId="44" fillId="5" borderId="31" applyNumberFormat="0" applyFont="1" applyFill="1" applyBorder="1" applyAlignment="1" applyProtection="0">
      <alignment vertical="bottom"/>
    </xf>
    <xf numFmtId="0" fontId="40" fillId="5" borderId="32" applyNumberFormat="0" applyFont="1" applyFill="1" applyBorder="1" applyAlignment="1" applyProtection="0">
      <alignment vertical="center"/>
    </xf>
    <xf numFmtId="0" fontId="45" fillId="5" borderId="32" applyNumberFormat="0" applyFont="1" applyFill="1" applyBorder="1" applyAlignment="1" applyProtection="0">
      <alignment vertical="center"/>
    </xf>
    <xf numFmtId="0" fontId="44" fillId="5" borderId="32" applyNumberFormat="0" applyFont="1" applyFill="1" applyBorder="1" applyAlignment="1" applyProtection="0">
      <alignment horizontal="center" vertical="bottom"/>
    </xf>
    <xf numFmtId="0" fontId="44" fillId="5" borderId="32" applyNumberFormat="0" applyFont="1" applyFill="1" applyBorder="1" applyAlignment="1" applyProtection="0">
      <alignment vertical="bottom"/>
    </xf>
    <xf numFmtId="0" fontId="46" fillId="5" borderId="32" applyNumberFormat="0" applyFont="1" applyFill="1" applyBorder="1" applyAlignment="1" applyProtection="0">
      <alignment vertical="bottom"/>
    </xf>
    <xf numFmtId="0" fontId="47" fillId="5" borderId="32" applyNumberFormat="0" applyFont="1" applyFill="1" applyBorder="1" applyAlignment="1" applyProtection="0">
      <alignment horizontal="center" vertical="bottom"/>
    </xf>
    <xf numFmtId="0" fontId="44" fillId="4" borderId="12" applyNumberFormat="0" applyFont="1" applyFill="1" applyBorder="1" applyAlignment="1" applyProtection="0">
      <alignment vertical="bottom"/>
    </xf>
    <xf numFmtId="0" fontId="40" fillId="4" borderId="13" applyNumberFormat="0" applyFont="1" applyFill="1" applyBorder="1" applyAlignment="1" applyProtection="0">
      <alignment vertical="center"/>
    </xf>
    <xf numFmtId="0" fontId="45" fillId="4" borderId="13" applyNumberFormat="0" applyFont="1" applyFill="1" applyBorder="1" applyAlignment="1" applyProtection="0">
      <alignment vertical="center"/>
    </xf>
    <xf numFmtId="0" fontId="44" fillId="4" borderId="13" applyNumberFormat="0" applyFont="1" applyFill="1" applyBorder="1" applyAlignment="1" applyProtection="0">
      <alignment horizontal="center" vertical="bottom"/>
    </xf>
    <xf numFmtId="0" fontId="44" fillId="4" borderId="13" applyNumberFormat="0" applyFont="1" applyFill="1" applyBorder="1" applyAlignment="1" applyProtection="0">
      <alignment vertical="bottom"/>
    </xf>
    <xf numFmtId="0" fontId="46" fillId="4" borderId="13" applyNumberFormat="0" applyFont="1" applyFill="1" applyBorder="1" applyAlignment="1" applyProtection="0">
      <alignment vertical="bottom"/>
    </xf>
    <xf numFmtId="0" fontId="47" fillId="4" borderId="14" applyNumberFormat="0" applyFont="1" applyFill="1" applyBorder="1" applyAlignment="1" applyProtection="0">
      <alignment horizontal="center" vertical="bottom"/>
    </xf>
    <xf numFmtId="0" fontId="36" fillId="6" borderId="15" applyNumberFormat="0" applyFont="1" applyFill="1" applyBorder="1" applyAlignment="1" applyProtection="0">
      <alignment vertical="bottom"/>
    </xf>
    <xf numFmtId="0" fontId="28" fillId="6" borderId="25" applyNumberFormat="0" applyFont="1" applyFill="1" applyBorder="1" applyAlignment="1" applyProtection="0">
      <alignment vertical="bottom"/>
    </xf>
    <xf numFmtId="0" fontId="28" fillId="6" borderId="25" applyNumberFormat="0" applyFont="1" applyFill="1" applyBorder="1" applyAlignment="1" applyProtection="0">
      <alignment horizontal="center" vertical="bottom"/>
    </xf>
    <xf numFmtId="0" fontId="44" fillId="2" borderId="33" applyNumberFormat="0" applyFont="1" applyFill="1" applyBorder="1" applyAlignment="1" applyProtection="0">
      <alignment vertical="bottom"/>
    </xf>
    <xf numFmtId="0" fontId="27" fillId="2" borderId="17" applyNumberFormat="0" applyFont="1" applyFill="1" applyBorder="1" applyAlignment="1" applyProtection="0">
      <alignment vertical="bottom"/>
    </xf>
    <xf numFmtId="0" fontId="36" fillId="2" borderId="17" applyNumberFormat="0" applyFont="1" applyFill="1" applyBorder="1" applyAlignment="1" applyProtection="0">
      <alignment vertical="bottom"/>
    </xf>
    <xf numFmtId="14" fontId="27" fillId="2" borderId="17" applyNumberFormat="1" applyFont="1" applyFill="1" applyBorder="1" applyAlignment="1" applyProtection="0">
      <alignment horizontal="center" vertical="bottom"/>
    </xf>
    <xf numFmtId="0" fontId="48" fillId="2" borderId="17" applyNumberFormat="0" applyFont="1" applyFill="1" applyBorder="1" applyAlignment="1" applyProtection="0">
      <alignment vertical="bottom"/>
    </xf>
    <xf numFmtId="14" fontId="36" fillId="2" borderId="17" applyNumberFormat="1" applyFont="1" applyFill="1" applyBorder="1" applyAlignment="1" applyProtection="0">
      <alignment horizontal="center" vertical="bottom"/>
    </xf>
    <xf numFmtId="0" fontId="49" fillId="2" borderId="17" applyNumberFormat="0" applyFont="1" applyFill="1" applyBorder="1" applyAlignment="1" applyProtection="0">
      <alignment vertical="bottom"/>
    </xf>
    <xf numFmtId="18" fontId="49" fillId="2" borderId="17" applyNumberFormat="1" applyFont="1" applyFill="1" applyBorder="1" applyAlignment="1" applyProtection="0">
      <alignment vertical="bottom"/>
    </xf>
    <xf numFmtId="0" fontId="36" fillId="6" borderId="34" applyNumberFormat="0" applyFont="1" applyFill="1" applyBorder="1" applyAlignment="1" applyProtection="0">
      <alignment vertical="bottom"/>
    </xf>
    <xf numFmtId="49" fontId="36" fillId="6" borderId="35" applyNumberFormat="1" applyFont="1" applyFill="1" applyBorder="1" applyAlignment="1" applyProtection="0">
      <alignment horizontal="left" vertical="bottom"/>
    </xf>
    <xf numFmtId="0" fontId="28" fillId="6" borderId="36" applyNumberFormat="0" applyFont="1" applyFill="1" applyBorder="1" applyAlignment="1" applyProtection="0">
      <alignment horizontal="center" vertical="bottom"/>
    </xf>
    <xf numFmtId="0" fontId="28" fillId="6" borderId="30" applyNumberFormat="1" applyFont="1" applyFill="1" applyBorder="1" applyAlignment="1" applyProtection="0">
      <alignment horizontal="center" vertical="bottom"/>
    </xf>
    <xf numFmtId="0" fontId="3" fillId="6" borderId="8" applyNumberFormat="0" applyFont="1" applyFill="1" applyBorder="1" applyAlignment="1" applyProtection="0">
      <alignment horizontal="left" vertical="bottom"/>
    </xf>
    <xf numFmtId="49" fontId="19" fillId="6" borderId="8" applyNumberFormat="1" applyFont="1" applyFill="1" applyBorder="1" applyAlignment="1" applyProtection="0">
      <alignment horizontal="center" vertical="bottom"/>
    </xf>
    <xf numFmtId="0" fontId="44" fillId="2" borderId="7" applyNumberFormat="0" applyFont="1" applyFill="1" applyBorder="1" applyAlignment="1" applyProtection="0">
      <alignment vertical="bottom"/>
    </xf>
    <xf numFmtId="49" fontId="50" fillId="2" borderId="8" applyNumberFormat="1" applyFont="1" applyFill="1" applyBorder="1" applyAlignment="1" applyProtection="0">
      <alignment vertical="bottom"/>
    </xf>
    <xf numFmtId="0" fontId="36" fillId="2" borderId="8" applyNumberFormat="0" applyFont="1" applyFill="1" applyBorder="1" applyAlignment="1" applyProtection="0">
      <alignment vertical="bottom"/>
    </xf>
    <xf numFmtId="14" fontId="27" fillId="2" borderId="8" applyNumberFormat="1" applyFont="1" applyFill="1" applyBorder="1" applyAlignment="1" applyProtection="0">
      <alignment horizontal="center" vertical="bottom"/>
    </xf>
    <xf numFmtId="0" fontId="48" fillId="2" borderId="8" applyNumberFormat="0" applyFont="1" applyFill="1" applyBorder="1" applyAlignment="1" applyProtection="0">
      <alignment vertical="bottom"/>
    </xf>
    <xf numFmtId="14" fontId="36" fillId="2" borderId="8" applyNumberFormat="1" applyFont="1" applyFill="1" applyBorder="1" applyAlignment="1" applyProtection="0">
      <alignment horizontal="center" vertical="bottom"/>
    </xf>
    <xf numFmtId="0" fontId="49" fillId="2" borderId="10" applyNumberFormat="0" applyFont="1" applyFill="1" applyBorder="1" applyAlignment="1" applyProtection="0">
      <alignment vertical="bottom"/>
    </xf>
    <xf numFmtId="2" fontId="49" fillId="2" borderId="8" applyNumberFormat="1" applyFont="1" applyFill="1" applyBorder="1" applyAlignment="1" applyProtection="0">
      <alignment vertical="bottom"/>
    </xf>
    <xf numFmtId="0" fontId="49" fillId="2" borderId="25" applyNumberFormat="0" applyFont="1" applyFill="1" applyBorder="1" applyAlignment="1" applyProtection="0">
      <alignment vertical="bottom"/>
    </xf>
    <xf numFmtId="49" fontId="36" fillId="6" borderId="37" applyNumberFormat="1" applyFont="1" applyFill="1" applyBorder="1" applyAlignment="1" applyProtection="0">
      <alignment horizontal="left" vertical="bottom"/>
    </xf>
    <xf numFmtId="0" fontId="28" fillId="6" borderId="38" applyNumberFormat="0" applyFont="1" applyFill="1" applyBorder="1" applyAlignment="1" applyProtection="0">
      <alignment horizontal="center" vertical="bottom"/>
    </xf>
    <xf numFmtId="60" fontId="28" fillId="6" borderId="30" applyNumberFormat="1" applyFont="1" applyFill="1" applyBorder="1" applyAlignment="1" applyProtection="0">
      <alignment horizontal="center" vertical="bottom"/>
    </xf>
    <xf numFmtId="60" fontId="36" fillId="6" borderId="8" applyNumberFormat="1" applyFont="1" applyFill="1" applyBorder="1" applyAlignment="1" applyProtection="0">
      <alignment vertical="bottom"/>
    </xf>
    <xf numFmtId="0" fontId="27" fillId="6" borderId="8" applyNumberFormat="1" applyFont="1" applyFill="1" applyBorder="1" applyAlignment="1" applyProtection="0">
      <alignment vertical="bottom"/>
    </xf>
    <xf numFmtId="49" fontId="26" fillId="2" borderId="8" applyNumberFormat="1" applyFont="1" applyFill="1" applyBorder="1" applyAlignment="1" applyProtection="0">
      <alignment vertical="bottom"/>
    </xf>
    <xf numFmtId="49" fontId="51" fillId="2" borderId="8" applyNumberFormat="1" applyFont="1" applyFill="1" applyBorder="1" applyAlignment="1" applyProtection="0">
      <alignment vertical="bottom"/>
    </xf>
    <xf numFmtId="0" fontId="36" fillId="2" borderId="8" applyNumberFormat="0" applyFont="1" applyFill="1" applyBorder="1" applyAlignment="1" applyProtection="0">
      <alignment horizontal="center" vertical="bottom"/>
    </xf>
    <xf numFmtId="0" fontId="36" fillId="2" borderId="19" applyNumberFormat="0" applyFont="1" applyFill="1" applyBorder="1" applyAlignment="1" applyProtection="0">
      <alignment vertical="bottom"/>
    </xf>
    <xf numFmtId="0" fontId="28" fillId="3" borderId="39" applyNumberFormat="1" applyFont="1" applyFill="1" applyBorder="1" applyAlignment="1" applyProtection="0">
      <alignment horizontal="center" vertical="bottom"/>
    </xf>
    <xf numFmtId="0" fontId="53" fillId="2" borderId="40" applyNumberFormat="0" applyFont="1" applyFill="1" applyBorder="1" applyAlignment="1" applyProtection="0">
      <alignment vertical="bottom"/>
    </xf>
    <xf numFmtId="49" fontId="50" fillId="5" borderId="41" applyNumberFormat="1" applyFont="1" applyFill="1" applyBorder="1" applyAlignment="1" applyProtection="0">
      <alignment vertical="bottom"/>
    </xf>
    <xf numFmtId="0" fontId="54" fillId="5" borderId="32" applyNumberFormat="0" applyFont="1" applyFill="1" applyBorder="1" applyAlignment="1" applyProtection="0">
      <alignment vertical="bottom"/>
    </xf>
    <xf numFmtId="0" fontId="54" fillId="5" borderId="42" applyNumberFormat="0" applyFont="1" applyFill="1" applyBorder="1" applyAlignment="1" applyProtection="0">
      <alignment vertical="bottom"/>
    </xf>
    <xf numFmtId="49" fontId="55" fillId="6" borderId="26" applyNumberFormat="1" applyFont="1" applyFill="1" applyBorder="1" applyAlignment="1" applyProtection="0">
      <alignment vertical="bottom"/>
    </xf>
    <xf numFmtId="0" fontId="56" fillId="6" borderId="32" applyNumberFormat="0" applyFont="1" applyFill="1" applyBorder="1" applyAlignment="1" applyProtection="0">
      <alignment horizontal="center" vertical="bottom"/>
    </xf>
    <xf numFmtId="0" fontId="56" fillId="6" borderId="25" applyNumberFormat="1" applyFont="1" applyFill="1" applyBorder="1" applyAlignment="1" applyProtection="0">
      <alignment horizontal="center" vertical="bottom"/>
    </xf>
    <xf numFmtId="0" fontId="27" fillId="2" borderId="8" applyNumberFormat="0" applyFont="1" applyFill="1" applyBorder="1" applyAlignment="1" applyProtection="0">
      <alignment horizontal="right" vertical="bottom"/>
    </xf>
    <xf numFmtId="0" fontId="36" fillId="2" borderId="40" applyNumberFormat="0" applyFont="1" applyFill="1" applyBorder="1" applyAlignment="1" applyProtection="0">
      <alignment vertical="bottom"/>
    </xf>
    <xf numFmtId="49" fontId="28" fillId="7" borderId="43" applyNumberFormat="1" applyFont="1" applyFill="1" applyBorder="1" applyAlignment="1" applyProtection="0">
      <alignment vertical="bottom"/>
    </xf>
    <xf numFmtId="0" fontId="28" fillId="7" borderId="17" applyNumberFormat="0" applyFont="1" applyFill="1" applyBorder="1" applyAlignment="1" applyProtection="0">
      <alignment horizontal="right" vertical="bottom"/>
    </xf>
    <xf numFmtId="14" fontId="57" fillId="7" borderId="44" applyNumberFormat="1" applyFont="1" applyFill="1" applyBorder="1" applyAlignment="1" applyProtection="0">
      <alignment horizontal="left" vertical="bottom"/>
    </xf>
    <xf numFmtId="0" fontId="36" fillId="6" borderId="45" applyNumberFormat="1" applyFont="1" applyFill="1" applyBorder="1" applyAlignment="1" applyProtection="0">
      <alignment vertical="bottom"/>
    </xf>
    <xf numFmtId="0" fontId="28" fillId="6" borderId="46" applyNumberFormat="0" applyFont="1" applyFill="1" applyBorder="1" applyAlignment="1" applyProtection="0">
      <alignment vertical="bottom"/>
    </xf>
    <xf numFmtId="49" fontId="28" fillId="6" borderId="39" applyNumberFormat="1" applyFont="1" applyFill="1" applyBorder="1" applyAlignment="1" applyProtection="0">
      <alignment horizontal="center" vertical="bottom"/>
    </xf>
    <xf numFmtId="0" fontId="28" fillId="6" borderId="47" applyNumberFormat="0" applyFont="1" applyFill="1" applyBorder="1" applyAlignment="1" applyProtection="0">
      <alignment horizontal="center" vertical="bottom"/>
    </xf>
    <xf numFmtId="0" fontId="19" fillId="6" borderId="8" applyNumberFormat="1" applyFont="1" applyFill="1" applyBorder="1" applyAlignment="1" applyProtection="0">
      <alignment horizontal="center" vertical="bottom"/>
    </xf>
    <xf numFmtId="49" fontId="19" fillId="6" borderId="8" applyNumberFormat="1" applyFont="1" applyFill="1" applyBorder="1" applyAlignment="1" applyProtection="0">
      <alignment horizontal="left" vertical="bottom"/>
    </xf>
    <xf numFmtId="49" fontId="28" fillId="7" borderId="30" applyNumberFormat="1" applyFont="1" applyFill="1" applyBorder="1" applyAlignment="1" applyProtection="0">
      <alignment horizontal="left" vertical="bottom"/>
    </xf>
    <xf numFmtId="0" fontId="57" fillId="7" borderId="8" applyNumberFormat="0" applyFont="1" applyFill="1" applyBorder="1" applyAlignment="1" applyProtection="0">
      <alignment horizontal="right" vertical="bottom"/>
    </xf>
    <xf numFmtId="0" fontId="57" fillId="7" borderId="34" applyNumberFormat="0" applyFont="1" applyFill="1" applyBorder="1" applyAlignment="1" applyProtection="0">
      <alignment horizontal="right" vertical="bottom"/>
    </xf>
    <xf numFmtId="0" fontId="36" fillId="6" borderId="45" applyNumberFormat="0" applyFont="1" applyFill="1" applyBorder="1" applyAlignment="1" applyProtection="0">
      <alignment vertical="bottom"/>
    </xf>
    <xf numFmtId="0" fontId="28" fillId="6" borderId="48" applyNumberFormat="0" applyFont="1" applyFill="1" applyBorder="1" applyAlignment="1" applyProtection="0">
      <alignment vertical="bottom"/>
    </xf>
    <xf numFmtId="0" fontId="28" fillId="6" borderId="39" applyNumberFormat="0" applyFont="1" applyFill="1" applyBorder="1" applyAlignment="1" applyProtection="0">
      <alignment horizontal="center" vertical="bottom"/>
    </xf>
    <xf numFmtId="49" fontId="27" fillId="2" borderId="8" applyNumberFormat="1" applyFont="1" applyFill="1" applyBorder="1" applyAlignment="1" applyProtection="0">
      <alignment horizontal="right" vertical="bottom"/>
    </xf>
    <xf numFmtId="14" fontId="28" fillId="3" borderId="39" applyNumberFormat="1" applyFont="1" applyFill="1" applyBorder="1" applyAlignment="1" applyProtection="0">
      <alignment horizontal="center" vertical="bottom"/>
    </xf>
    <xf numFmtId="49" fontId="28" fillId="7" borderId="49" applyNumberFormat="1" applyFont="1" applyFill="1" applyBorder="1" applyAlignment="1" applyProtection="0">
      <alignment vertical="bottom"/>
    </xf>
    <xf numFmtId="0" fontId="28" fillId="7" borderId="10" applyNumberFormat="0" applyFont="1" applyFill="1" applyBorder="1" applyAlignment="1" applyProtection="0">
      <alignment vertical="bottom"/>
    </xf>
    <xf numFmtId="1" fontId="57" fillId="7" borderId="50" applyNumberFormat="1" applyFont="1" applyFill="1" applyBorder="1" applyAlignment="1" applyProtection="0">
      <alignment horizontal="center" vertical="bottom"/>
    </xf>
    <xf numFmtId="49" fontId="36" fillId="6" borderId="8" applyNumberFormat="1" applyFont="1" applyFill="1" applyBorder="1" applyAlignment="1" applyProtection="0">
      <alignment vertical="bottom"/>
    </xf>
    <xf numFmtId="0" fontId="58" fillId="2" borderId="7" applyNumberFormat="0" applyFont="1" applyFill="1" applyBorder="1" applyAlignment="1" applyProtection="0">
      <alignment vertical="bottom"/>
    </xf>
    <xf numFmtId="18" fontId="28" fillId="3" borderId="39" applyNumberFormat="1" applyFont="1" applyFill="1" applyBorder="1" applyAlignment="1" applyProtection="0">
      <alignment horizontal="center" vertical="bottom"/>
    </xf>
    <xf numFmtId="20" fontId="49" fillId="2" borderId="40" applyNumberFormat="1" applyFont="1" applyFill="1" applyBorder="1" applyAlignment="1" applyProtection="0">
      <alignment vertical="bottom"/>
    </xf>
    <xf numFmtId="49" fontId="28" fillId="7" borderId="43" applyNumberFormat="1" applyFont="1" applyFill="1" applyBorder="1" applyAlignment="1" applyProtection="0">
      <alignment horizontal="left" vertical="bottom"/>
    </xf>
    <xf numFmtId="0" fontId="36" fillId="7" borderId="18" applyNumberFormat="0" applyFont="1" applyFill="1" applyBorder="1" applyAlignment="1" applyProtection="0">
      <alignment vertical="bottom"/>
    </xf>
    <xf numFmtId="0" fontId="28" fillId="3" borderId="51" applyNumberFormat="1" applyFont="1" applyFill="1" applyBorder="1" applyAlignment="1" applyProtection="0">
      <alignment horizontal="center" vertical="bottom"/>
    </xf>
    <xf numFmtId="49" fontId="28" fillId="6" borderId="48" applyNumberFormat="1" applyFont="1" applyFill="1" applyBorder="1" applyAlignment="1" applyProtection="0">
      <alignment vertical="bottom"/>
    </xf>
    <xf numFmtId="59" fontId="28" fillId="6" borderId="39" applyNumberFormat="1" applyFont="1" applyFill="1" applyBorder="1" applyAlignment="1" applyProtection="0">
      <alignment horizontal="center" vertical="bottom"/>
    </xf>
    <xf numFmtId="0" fontId="45" fillId="2" borderId="7" applyNumberFormat="0" applyFont="1" applyFill="1" applyBorder="1" applyAlignment="1" applyProtection="0">
      <alignment vertical="bottom"/>
    </xf>
    <xf numFmtId="0" fontId="28" fillId="2" borderId="8" applyNumberFormat="0" applyFont="1" applyFill="1" applyBorder="1" applyAlignment="1" applyProtection="0">
      <alignment vertical="bottom"/>
    </xf>
    <xf numFmtId="0" fontId="48" fillId="2" borderId="40" applyNumberFormat="0" applyFont="1" applyFill="1" applyBorder="1" applyAlignment="1" applyProtection="0">
      <alignment vertical="bottom"/>
    </xf>
    <xf numFmtId="49" fontId="28" fillId="7" borderId="37" applyNumberFormat="1" applyFont="1" applyFill="1" applyBorder="1" applyAlignment="1" applyProtection="0">
      <alignment horizontal="left" vertical="bottom"/>
    </xf>
    <xf numFmtId="0" fontId="36" fillId="7" borderId="52" applyNumberFormat="0" applyFont="1" applyFill="1" applyBorder="1" applyAlignment="1" applyProtection="0">
      <alignment vertical="bottom"/>
    </xf>
    <xf numFmtId="0" fontId="28" fillId="3" borderId="53" applyNumberFormat="1" applyFont="1" applyFill="1" applyBorder="1" applyAlignment="1" applyProtection="0">
      <alignment horizontal="center" vertical="bottom"/>
    </xf>
    <xf numFmtId="49" fontId="59" fillId="6" borderId="45" applyNumberFormat="1" applyFont="1" applyFill="1" applyBorder="1" applyAlignment="1" applyProtection="0">
      <alignment vertical="bottom"/>
    </xf>
    <xf numFmtId="49" fontId="26" fillId="2" borderId="8" applyNumberFormat="1" applyFont="1" applyFill="1" applyBorder="1" applyAlignment="1" applyProtection="0">
      <alignment vertical="top"/>
    </xf>
    <xf numFmtId="49" fontId="51" fillId="2" borderId="8" applyNumberFormat="1" applyFont="1" applyFill="1" applyBorder="1" applyAlignment="1" applyProtection="0">
      <alignment vertical="center" wrapText="1"/>
    </xf>
    <xf numFmtId="0" fontId="60" fillId="3" borderId="8" applyNumberFormat="0" applyFont="1" applyFill="1" applyBorder="1" applyAlignment="1" applyProtection="0">
      <alignment vertical="center" wrapText="1"/>
    </xf>
    <xf numFmtId="0" fontId="60" fillId="3" borderId="19" applyNumberFormat="0" applyFont="1" applyFill="1" applyBorder="1" applyAlignment="1" applyProtection="0">
      <alignment vertical="center" wrapText="1"/>
    </xf>
    <xf numFmtId="0" fontId="28" fillId="3" borderId="39" applyNumberFormat="1" applyFont="1" applyFill="1" applyBorder="1" applyAlignment="1" applyProtection="0">
      <alignment horizontal="center" vertical="top"/>
    </xf>
    <xf numFmtId="2" fontId="48" fillId="2" borderId="15" applyNumberFormat="1" applyFont="1" applyFill="1" applyBorder="1" applyAlignment="1" applyProtection="0">
      <alignment vertical="bottom"/>
    </xf>
    <xf numFmtId="49" fontId="61" fillId="2" borderId="26" applyNumberFormat="1" applyFont="1" applyFill="1" applyBorder="1" applyAlignment="1" applyProtection="0">
      <alignment vertical="bottom"/>
    </xf>
    <xf numFmtId="0" fontId="36" fillId="2" borderId="26" applyNumberFormat="0" applyFont="1" applyFill="1" applyBorder="1" applyAlignment="1" applyProtection="0">
      <alignment vertical="bottom"/>
    </xf>
    <xf numFmtId="49" fontId="59" fillId="6" borderId="19" applyNumberFormat="1" applyFont="1" applyFill="1" applyBorder="1" applyAlignment="1" applyProtection="0">
      <alignment vertical="bottom"/>
    </xf>
    <xf numFmtId="0" fontId="62" fillId="2" borderId="7" applyNumberFormat="0" applyFont="1" applyFill="1" applyBorder="1" applyAlignment="1" applyProtection="0">
      <alignment vertical="bottom"/>
    </xf>
    <xf numFmtId="0" fontId="28" fillId="3" borderId="39" applyNumberFormat="0" applyFont="1" applyFill="1" applyBorder="1" applyAlignment="1" applyProtection="0">
      <alignment horizontal="center" vertical="bottom"/>
    </xf>
    <xf numFmtId="20" fontId="36" fillId="2" borderId="40" applyNumberFormat="1" applyFont="1" applyFill="1" applyBorder="1" applyAlignment="1" applyProtection="0">
      <alignment vertical="bottom"/>
    </xf>
    <xf numFmtId="49" fontId="0" fillId="6" borderId="8" applyNumberFormat="1" applyFont="1" applyFill="1" applyBorder="1" applyAlignment="1" applyProtection="0">
      <alignment vertical="bottom"/>
    </xf>
    <xf numFmtId="0" fontId="36" fillId="2" borderId="7" applyNumberFormat="0" applyFont="1" applyFill="1" applyBorder="1" applyAlignment="1" applyProtection="0">
      <alignment vertical="bottom"/>
    </xf>
    <xf numFmtId="49" fontId="26" fillId="2" borderId="10" applyNumberFormat="1" applyFont="1" applyFill="1" applyBorder="1" applyAlignment="1" applyProtection="0">
      <alignment vertical="bottom"/>
    </xf>
    <xf numFmtId="0" fontId="36" fillId="2" borderId="10" applyNumberFormat="0" applyFont="1" applyFill="1" applyBorder="1" applyAlignment="1" applyProtection="0">
      <alignment vertical="bottom"/>
    </xf>
    <xf numFmtId="0" fontId="36" fillId="2" borderId="10" applyNumberFormat="0" applyFont="1" applyFill="1" applyBorder="1" applyAlignment="1" applyProtection="0">
      <alignment horizontal="center" vertical="bottom"/>
    </xf>
    <xf numFmtId="0" fontId="19" fillId="2" borderId="17" applyNumberFormat="0" applyFont="1" applyFill="1" applyBorder="1" applyAlignment="1" applyProtection="0">
      <alignment vertical="bottom"/>
    </xf>
    <xf numFmtId="0" fontId="36" fillId="2" borderId="34" applyNumberFormat="0" applyFont="1" applyFill="1" applyBorder="1" applyAlignment="1" applyProtection="0">
      <alignment vertical="bottom"/>
    </xf>
    <xf numFmtId="0" fontId="28" fillId="3" borderId="51" applyNumberFormat="0" applyFont="1" applyFill="1" applyBorder="1" applyAlignment="1" applyProtection="0">
      <alignment horizontal="center" vertical="bottom"/>
    </xf>
    <xf numFmtId="0" fontId="36" fillId="2" borderId="11" applyNumberFormat="0" applyFont="1" applyFill="1" applyBorder="1" applyAlignment="1" applyProtection="0">
      <alignment vertical="bottom"/>
    </xf>
    <xf numFmtId="0" fontId="28" fillId="3" borderId="12" applyNumberFormat="0" applyFont="1" applyFill="1" applyBorder="1" applyAlignment="1" applyProtection="0">
      <alignment vertical="bottom"/>
    </xf>
    <xf numFmtId="0" fontId="28" fillId="3" borderId="13" applyNumberFormat="0" applyFont="1" applyFill="1" applyBorder="1" applyAlignment="1" applyProtection="0">
      <alignment vertical="bottom"/>
    </xf>
    <xf numFmtId="0" fontId="28" fillId="3" borderId="14" applyNumberFormat="0" applyFont="1" applyFill="1" applyBorder="1" applyAlignment="1" applyProtection="0">
      <alignment vertical="bottom"/>
    </xf>
    <xf numFmtId="0" fontId="28" fillId="2" borderId="15" applyNumberFormat="0" applyFont="1" applyFill="1" applyBorder="1" applyAlignment="1" applyProtection="0">
      <alignment vertical="bottom"/>
    </xf>
    <xf numFmtId="18" fontId="28" fillId="2" borderId="8" applyNumberFormat="1" applyFont="1" applyFill="1" applyBorder="1" applyAlignment="1" applyProtection="0">
      <alignment vertical="bottom"/>
    </xf>
    <xf numFmtId="0" fontId="28" fillId="2" borderId="34" applyNumberFormat="0" applyFont="1" applyFill="1" applyBorder="1" applyAlignment="1" applyProtection="0">
      <alignment vertical="bottom"/>
    </xf>
    <xf numFmtId="0" fontId="36" fillId="7" borderId="19" applyNumberFormat="0" applyFont="1" applyFill="1" applyBorder="1" applyAlignment="1" applyProtection="0">
      <alignment vertical="bottom"/>
    </xf>
    <xf numFmtId="0" fontId="36" fillId="2" borderId="17" applyNumberFormat="0" applyFont="1" applyFill="1" applyBorder="1" applyAlignment="1" applyProtection="0">
      <alignment horizontal="center" vertical="bottom"/>
    </xf>
    <xf numFmtId="49" fontId="28" fillId="2" borderId="8" applyNumberFormat="1" applyFont="1" applyFill="1" applyBorder="1" applyAlignment="1" applyProtection="0">
      <alignment vertical="bottom"/>
    </xf>
    <xf numFmtId="49" fontId="63" fillId="7" borderId="37" applyNumberFormat="1" applyFont="1" applyFill="1" applyBorder="1" applyAlignment="1" applyProtection="0">
      <alignment vertical="bottom"/>
    </xf>
    <xf numFmtId="0" fontId="36" fillId="7" borderId="25" applyNumberFormat="0" applyFont="1" applyFill="1" applyBorder="1" applyAlignment="1" applyProtection="0">
      <alignment vertical="bottom"/>
    </xf>
    <xf numFmtId="0" fontId="36" fillId="7" borderId="54" applyNumberFormat="0" applyFont="1" applyFill="1" applyBorder="1" applyAlignment="1" applyProtection="0">
      <alignment vertical="bottom"/>
    </xf>
    <xf numFmtId="0" fontId="27" fillId="2" borderId="25" applyNumberFormat="0" applyFont="1" applyFill="1" applyBorder="1" applyAlignment="1" applyProtection="0">
      <alignment vertical="bottom"/>
    </xf>
    <xf numFmtId="0" fontId="36" fillId="2" borderId="25" applyNumberFormat="0" applyFont="1" applyFill="1" applyBorder="1" applyAlignment="1" applyProtection="0">
      <alignment vertical="bottom"/>
    </xf>
    <xf numFmtId="0" fontId="36" fillId="2" borderId="25" applyNumberFormat="0" applyFont="1" applyFill="1" applyBorder="1" applyAlignment="1" applyProtection="0">
      <alignment horizontal="center" vertical="bottom"/>
    </xf>
    <xf numFmtId="0" fontId="64" fillId="2" borderId="8" applyNumberFormat="0" applyFont="1" applyFill="1" applyBorder="1" applyAlignment="1" applyProtection="0">
      <alignment vertical="bottom"/>
    </xf>
    <xf numFmtId="0" fontId="19" fillId="2" borderId="25" applyNumberFormat="0" applyFont="1" applyFill="1" applyBorder="1" applyAlignment="1" applyProtection="0">
      <alignment vertical="bottom"/>
    </xf>
    <xf numFmtId="49" fontId="65" fillId="2" borderId="26" applyNumberFormat="1" applyFont="1" applyFill="1" applyBorder="1" applyAlignment="1" applyProtection="0">
      <alignment vertical="bottom"/>
    </xf>
    <xf numFmtId="0" fontId="49" fillId="2" borderId="26" applyNumberFormat="0" applyFont="1" applyFill="1" applyBorder="1" applyAlignment="1" applyProtection="0">
      <alignment vertical="bottom"/>
    </xf>
    <xf numFmtId="0" fontId="65" fillId="2" borderId="55" applyNumberFormat="1" applyFont="1" applyFill="1" applyBorder="1" applyAlignment="1" applyProtection="0">
      <alignment horizontal="center" vertical="bottom"/>
    </xf>
    <xf numFmtId="0" fontId="36" fillId="6" borderId="19" applyNumberFormat="0" applyFont="1" applyFill="1" applyBorder="1" applyAlignment="1" applyProtection="0">
      <alignment vertical="bottom"/>
    </xf>
    <xf numFmtId="0" fontId="62" fillId="2" borderId="56" applyNumberFormat="0" applyFont="1" applyFill="1" applyBorder="1" applyAlignment="1" applyProtection="0">
      <alignment vertical="bottom"/>
    </xf>
    <xf numFmtId="49" fontId="42" fillId="4" borderId="41" applyNumberFormat="1" applyFont="1" applyFill="1" applyBorder="1" applyAlignment="1" applyProtection="0">
      <alignment vertical="bottom"/>
    </xf>
    <xf numFmtId="0" fontId="44" fillId="4" borderId="32" applyNumberFormat="0" applyFont="1" applyFill="1" applyBorder="1" applyAlignment="1" applyProtection="0">
      <alignment vertical="bottom"/>
    </xf>
    <xf numFmtId="0" fontId="44" fillId="4" borderId="32" applyNumberFormat="0" applyFont="1" applyFill="1" applyBorder="1" applyAlignment="1" applyProtection="0">
      <alignment horizontal="center" vertical="bottom"/>
    </xf>
    <xf numFmtId="0" fontId="44" fillId="4" borderId="42" applyNumberFormat="0" applyFont="1" applyFill="1" applyBorder="1" applyAlignment="1" applyProtection="0">
      <alignment vertical="bottom"/>
    </xf>
    <xf numFmtId="49" fontId="66" fillId="2" borderId="57" applyNumberFormat="1" applyFont="1" applyFill="1" applyBorder="1" applyAlignment="1" applyProtection="0">
      <alignment vertical="bottom"/>
    </xf>
    <xf numFmtId="0" fontId="62" fillId="2" borderId="30" applyNumberFormat="0" applyFont="1" applyFill="1" applyBorder="1" applyAlignment="1" applyProtection="0">
      <alignment vertical="bottom"/>
    </xf>
    <xf numFmtId="49" fontId="15" fillId="7" borderId="43" applyNumberFormat="1" applyFont="1" applyFill="1" applyBorder="1" applyAlignment="1" applyProtection="0">
      <alignment vertical="bottom"/>
    </xf>
    <xf numFmtId="0" fontId="36" fillId="7" borderId="17" applyNumberFormat="0" applyFont="1" applyFill="1" applyBorder="1" applyAlignment="1" applyProtection="0">
      <alignment vertical="bottom"/>
    </xf>
    <xf numFmtId="0" fontId="36" fillId="7" borderId="17" applyNumberFormat="0" applyFont="1" applyFill="1" applyBorder="1" applyAlignment="1" applyProtection="0">
      <alignment horizontal="center" vertical="bottom"/>
    </xf>
    <xf numFmtId="0" fontId="36" fillId="7" borderId="44" applyNumberFormat="0" applyFont="1" applyFill="1" applyBorder="1" applyAlignment="1" applyProtection="0">
      <alignment vertical="bottom"/>
    </xf>
    <xf numFmtId="0" fontId="67" fillId="2" borderId="57" applyNumberFormat="0" applyFont="1" applyFill="1" applyBorder="1" applyAlignment="1" applyProtection="0">
      <alignment vertical="bottom"/>
    </xf>
    <xf numFmtId="49" fontId="15" fillId="7" borderId="30" applyNumberFormat="1" applyFont="1" applyFill="1" applyBorder="1" applyAlignment="1" applyProtection="0">
      <alignment vertical="bottom"/>
    </xf>
    <xf numFmtId="0" fontId="36" fillId="7" borderId="8" applyNumberFormat="0" applyFont="1" applyFill="1" applyBorder="1" applyAlignment="1" applyProtection="0">
      <alignment vertical="bottom"/>
    </xf>
    <xf numFmtId="0" fontId="36" fillId="7" borderId="8" applyNumberFormat="0" applyFont="1" applyFill="1" applyBorder="1" applyAlignment="1" applyProtection="0">
      <alignment horizontal="center" vertical="bottom"/>
    </xf>
    <xf numFmtId="0" fontId="36" fillId="7" borderId="34" applyNumberFormat="0" applyFont="1" applyFill="1" applyBorder="1" applyAlignment="1" applyProtection="0">
      <alignment vertical="bottom"/>
    </xf>
    <xf numFmtId="49" fontId="27" fillId="6" borderId="8" applyNumberFormat="1" applyFont="1" applyFill="1" applyBorder="1" applyAlignment="1" applyProtection="0">
      <alignment vertical="bottom"/>
    </xf>
    <xf numFmtId="0" fontId="15" fillId="7" borderId="49" applyNumberFormat="0" applyFont="1" applyFill="1" applyBorder="1" applyAlignment="1" applyProtection="0">
      <alignment vertical="bottom"/>
    </xf>
    <xf numFmtId="0" fontId="36" fillId="7" borderId="10" applyNumberFormat="0" applyFont="1" applyFill="1" applyBorder="1" applyAlignment="1" applyProtection="0">
      <alignment vertical="bottom"/>
    </xf>
    <xf numFmtId="0" fontId="36" fillId="7" borderId="10" applyNumberFormat="0" applyFont="1" applyFill="1" applyBorder="1" applyAlignment="1" applyProtection="0">
      <alignment horizontal="center" vertical="bottom"/>
    </xf>
    <xf numFmtId="0" fontId="36" fillId="7" borderId="50" applyNumberFormat="0" applyFont="1" applyFill="1" applyBorder="1" applyAlignment="1" applyProtection="0">
      <alignment vertical="bottom"/>
    </xf>
    <xf numFmtId="49" fontId="15" fillId="7" borderId="49" applyNumberFormat="1" applyFont="1" applyFill="1" applyBorder="1" applyAlignment="1" applyProtection="0">
      <alignment vertical="bottom"/>
    </xf>
    <xf numFmtId="49" fontId="68" fillId="5" borderId="58" applyNumberFormat="1" applyFont="1" applyFill="1" applyBorder="1" applyAlignment="1" applyProtection="0">
      <alignment vertical="bottom"/>
    </xf>
    <xf numFmtId="0" fontId="54" fillId="5" borderId="13" applyNumberFormat="0" applyFont="1" applyFill="1" applyBorder="1" applyAlignment="1" applyProtection="0">
      <alignment vertical="bottom"/>
    </xf>
    <xf numFmtId="0" fontId="50" fillId="5" borderId="13" applyNumberFormat="0" applyFont="1" applyFill="1" applyBorder="1" applyAlignment="1" applyProtection="0">
      <alignment horizontal="right" vertical="bottom"/>
    </xf>
    <xf numFmtId="61" fontId="69" fillId="5" borderId="59" applyNumberFormat="1" applyFont="1" applyFill="1" applyBorder="1" applyAlignment="1" applyProtection="0">
      <alignment horizontal="center" vertical="bottom"/>
    </xf>
    <xf numFmtId="0" fontId="62" fillId="2" borderId="57" applyNumberFormat="0" applyFont="1" applyFill="1" applyBorder="1" applyAlignment="1" applyProtection="0">
      <alignment horizontal="left" vertical="bottom"/>
    </xf>
    <xf numFmtId="0" fontId="70" fillId="7" borderId="17" applyNumberFormat="0" applyFont="1" applyFill="1" applyBorder="1" applyAlignment="1" applyProtection="0">
      <alignment vertical="bottom"/>
    </xf>
    <xf numFmtId="0" fontId="70" fillId="7" borderId="17" applyNumberFormat="0" applyFont="1" applyFill="1" applyBorder="1" applyAlignment="1" applyProtection="0">
      <alignment horizontal="center" vertical="bottom"/>
    </xf>
    <xf numFmtId="0" fontId="70" fillId="7" borderId="44" applyNumberFormat="0" applyFont="1" applyFill="1" applyBorder="1" applyAlignment="1" applyProtection="0">
      <alignment vertical="bottom"/>
    </xf>
    <xf numFmtId="49" fontId="28" fillId="6" borderId="60" applyNumberFormat="1" applyFont="1" applyFill="1" applyBorder="1" applyAlignment="1" applyProtection="0">
      <alignment vertical="bottom"/>
    </xf>
    <xf numFmtId="0" fontId="48" fillId="6" borderId="8" applyNumberFormat="0" applyFont="1" applyFill="1" applyBorder="1" applyAlignment="1" applyProtection="0">
      <alignment vertical="bottom"/>
    </xf>
    <xf numFmtId="61" fontId="49" fillId="2" borderId="57" applyNumberFormat="1" applyFont="1" applyFill="1" applyBorder="1" applyAlignment="1" applyProtection="0">
      <alignment horizontal="center" vertical="bottom"/>
    </xf>
    <xf numFmtId="0" fontId="70" fillId="7" borderId="8" applyNumberFormat="0" applyFont="1" applyFill="1" applyBorder="1" applyAlignment="1" applyProtection="0">
      <alignment vertical="bottom"/>
    </xf>
    <xf numFmtId="0" fontId="70" fillId="7" borderId="8" applyNumberFormat="0" applyFont="1" applyFill="1" applyBorder="1" applyAlignment="1" applyProtection="0">
      <alignment horizontal="center" vertical="bottom"/>
    </xf>
    <xf numFmtId="0" fontId="70" fillId="7" borderId="34" applyNumberFormat="0" applyFont="1" applyFill="1" applyBorder="1" applyAlignment="1" applyProtection="0">
      <alignment vertical="bottom"/>
    </xf>
    <xf numFmtId="49" fontId="55" fillId="6" borderId="16" applyNumberFormat="1" applyFont="1" applyFill="1" applyBorder="1" applyAlignment="1" applyProtection="0">
      <alignment vertical="bottom"/>
    </xf>
    <xf numFmtId="0" fontId="28" fillId="6" borderId="18" applyNumberFormat="0" applyFont="1" applyFill="1" applyBorder="1" applyAlignment="1" applyProtection="0">
      <alignment horizontal="center" vertical="bottom"/>
    </xf>
    <xf numFmtId="0" fontId="28" fillId="6" borderId="20" applyNumberFormat="0" applyFont="1" applyFill="1" applyBorder="1" applyAlignment="1" applyProtection="0">
      <alignment vertical="bottom"/>
    </xf>
    <xf numFmtId="0" fontId="28" fillId="6" borderId="21" applyNumberFormat="0" applyFont="1" applyFill="1" applyBorder="1" applyAlignment="1" applyProtection="0">
      <alignment horizontal="center" vertical="bottom"/>
    </xf>
    <xf numFmtId="49" fontId="19" fillId="6" borderId="8" applyNumberFormat="1" applyFont="1" applyFill="1" applyBorder="1" applyAlignment="1" applyProtection="0">
      <alignment vertical="bottom"/>
    </xf>
    <xf numFmtId="0" fontId="28" fillId="6" borderId="17" applyNumberFormat="0" applyFont="1" applyFill="1" applyBorder="1" applyAlignment="1" applyProtection="0">
      <alignment vertical="bottom"/>
    </xf>
    <xf numFmtId="0" fontId="15" fillId="7" borderId="30" applyNumberFormat="0" applyFont="1" applyFill="1" applyBorder="1" applyAlignment="1" applyProtection="0">
      <alignment vertical="bottom"/>
    </xf>
    <xf numFmtId="0" fontId="28" fillId="6" borderId="19" applyNumberFormat="0" applyFont="1" applyFill="1" applyBorder="1" applyAlignment="1" applyProtection="0">
      <alignment horizontal="center" vertical="bottom"/>
    </xf>
    <xf numFmtId="0" fontId="71" fillId="7" borderId="8" applyNumberFormat="0" applyFont="1" applyFill="1" applyBorder="1" applyAlignment="1" applyProtection="0">
      <alignment horizontal="right" vertical="bottom"/>
    </xf>
    <xf numFmtId="0" fontId="26" fillId="7" borderId="8" applyNumberFormat="0" applyFont="1" applyFill="1" applyBorder="1" applyAlignment="1" applyProtection="0">
      <alignment horizontal="center" vertical="bottom"/>
    </xf>
    <xf numFmtId="62" fontId="26" fillId="7" borderId="34" applyNumberFormat="1" applyFont="1" applyFill="1" applyBorder="1" applyAlignment="1" applyProtection="0">
      <alignment horizontal="center" vertical="bottom"/>
    </xf>
    <xf numFmtId="0" fontId="72" fillId="7" borderId="8" applyNumberFormat="0" applyFont="1" applyFill="1" applyBorder="1" applyAlignment="1" applyProtection="0">
      <alignment horizontal="right" vertical="bottom"/>
    </xf>
    <xf numFmtId="0" fontId="73" fillId="7" borderId="8" applyNumberFormat="0" applyFont="1" applyFill="1" applyBorder="1" applyAlignment="1" applyProtection="0">
      <alignment horizontal="center" vertical="bottom"/>
    </xf>
    <xf numFmtId="62" fontId="73" fillId="7" borderId="34" applyNumberFormat="1" applyFont="1" applyFill="1" applyBorder="1" applyAlignment="1" applyProtection="0">
      <alignment horizontal="center" vertical="bottom"/>
    </xf>
    <xf numFmtId="0" fontId="15" fillId="7" borderId="37" applyNumberFormat="0" applyFont="1" applyFill="1" applyBorder="1" applyAlignment="1" applyProtection="0">
      <alignment vertical="bottom"/>
    </xf>
    <xf numFmtId="0" fontId="71" fillId="7" borderId="25" applyNumberFormat="0" applyFont="1" applyFill="1" applyBorder="1" applyAlignment="1" applyProtection="0">
      <alignment horizontal="right" vertical="bottom"/>
    </xf>
    <xf numFmtId="0" fontId="26" fillId="7" borderId="25" applyNumberFormat="0" applyFont="1" applyFill="1" applyBorder="1" applyAlignment="1" applyProtection="0">
      <alignment horizontal="center" vertical="bottom"/>
    </xf>
    <xf numFmtId="62" fontId="26" fillId="7" borderId="38" applyNumberFormat="1" applyFont="1" applyFill="1" applyBorder="1" applyAlignment="1" applyProtection="0">
      <alignment horizontal="center" vertical="bottom"/>
    </xf>
    <xf numFmtId="0" fontId="74" fillId="7" borderId="25" applyNumberFormat="0" applyFont="1" applyFill="1" applyBorder="1" applyAlignment="1" applyProtection="0">
      <alignment vertical="bottom"/>
    </xf>
    <xf numFmtId="0" fontId="74" fillId="7" borderId="38" applyNumberFormat="0" applyFont="1" applyFill="1" applyBorder="1" applyAlignment="1" applyProtection="0">
      <alignment vertical="bottom"/>
    </xf>
    <xf numFmtId="49" fontId="56" fillId="2" borderId="55" applyNumberFormat="1" applyFont="1" applyFill="1" applyBorder="1" applyAlignment="1" applyProtection="0">
      <alignment vertical="bottom"/>
    </xf>
    <xf numFmtId="0" fontId="28" fillId="2" borderId="55" applyNumberFormat="0" applyFont="1" applyFill="1" applyBorder="1" applyAlignment="1" applyProtection="0">
      <alignment vertical="bottom"/>
    </xf>
    <xf numFmtId="61" fontId="62" fillId="2" borderId="8" applyNumberFormat="1" applyFont="1" applyFill="1" applyBorder="1" applyAlignment="1" applyProtection="0">
      <alignment horizontal="center" vertical="bottom"/>
    </xf>
    <xf numFmtId="0" fontId="75" fillId="2" borderId="55" applyNumberFormat="0" applyFont="1" applyFill="1" applyBorder="1" applyAlignment="1" applyProtection="0">
      <alignment vertical="bottom"/>
    </xf>
    <xf numFmtId="0" fontId="62" fillId="2" borderId="8" applyNumberFormat="0" applyFont="1" applyFill="1" applyBorder="1" applyAlignment="1" applyProtection="0">
      <alignment vertical="bottom"/>
    </xf>
    <xf numFmtId="0" fontId="76" fillId="2" borderId="7" applyNumberFormat="0" applyFont="1" applyFill="1" applyBorder="1" applyAlignment="1" applyProtection="0">
      <alignment vertical="bottom"/>
    </xf>
    <xf numFmtId="0" fontId="26" fillId="2" borderId="8" applyNumberFormat="0" applyFont="1" applyFill="1" applyBorder="1" applyAlignment="1" applyProtection="0">
      <alignment vertical="bottom"/>
    </xf>
    <xf numFmtId="49" fontId="26" fillId="2" borderId="8" applyNumberFormat="1" applyFont="1" applyFill="1" applyBorder="1" applyAlignment="1" applyProtection="0">
      <alignment horizontal="justify" vertical="bottom"/>
    </xf>
    <xf numFmtId="0" fontId="28" fillId="2" borderId="8" applyNumberFormat="0" applyFont="1" applyFill="1" applyBorder="1" applyAlignment="1" applyProtection="0">
      <alignment horizontal="justify" vertical="bottom"/>
    </xf>
    <xf numFmtId="0" fontId="75" fillId="2" borderId="8" applyNumberFormat="0" applyFont="1" applyFill="1" applyBorder="1" applyAlignment="1" applyProtection="0">
      <alignment vertical="bottom"/>
    </xf>
    <xf numFmtId="0" fontId="28" fillId="2" borderId="25" applyNumberFormat="0" applyFont="1" applyFill="1" applyBorder="1" applyAlignment="1" applyProtection="0">
      <alignment vertical="bottom"/>
    </xf>
    <xf numFmtId="0" fontId="28" fillId="2" borderId="8" applyNumberFormat="0" applyFont="1" applyFill="1" applyBorder="1" applyAlignment="1" applyProtection="0">
      <alignment horizontal="center" vertical="bottom"/>
    </xf>
    <xf numFmtId="49" fontId="26" fillId="2" borderId="25" applyNumberFormat="1" applyFont="1" applyFill="1" applyBorder="1" applyAlignment="1" applyProtection="0">
      <alignment horizontal="right" vertical="bottom"/>
    </xf>
    <xf numFmtId="49" fontId="26" fillId="2" borderId="25" applyNumberFormat="1" applyFont="1" applyFill="1" applyBorder="1" applyAlignment="1" applyProtection="0">
      <alignment horizontal="center" vertical="bottom"/>
    </xf>
    <xf numFmtId="49" fontId="26" fillId="2" borderId="34" applyNumberFormat="1" applyFont="1" applyFill="1" applyBorder="1" applyAlignment="1" applyProtection="0">
      <alignment horizontal="right" vertical="bottom"/>
    </xf>
    <xf numFmtId="1" fontId="28" fillId="3" borderId="61" applyNumberFormat="1" applyFont="1" applyFill="1" applyBorder="1" applyAlignment="1" applyProtection="0">
      <alignment horizontal="center" vertical="bottom"/>
    </xf>
    <xf numFmtId="1" fontId="56" fillId="2" borderId="30" applyNumberFormat="1" applyFont="1" applyFill="1" applyBorder="1" applyAlignment="1" applyProtection="0">
      <alignment horizontal="center" vertical="bottom"/>
    </xf>
    <xf numFmtId="49" fontId="26" fillId="2" borderId="34" applyNumberFormat="1" applyFont="1" applyFill="1" applyBorder="1" applyAlignment="1" applyProtection="0">
      <alignment horizontal="left" vertical="bottom"/>
    </xf>
    <xf numFmtId="0" fontId="28" fillId="3" borderId="62" applyNumberFormat="1" applyFont="1" applyFill="1" applyBorder="1" applyAlignment="1" applyProtection="0">
      <alignment horizontal="center" vertical="bottom"/>
    </xf>
    <xf numFmtId="62" fontId="28" fillId="3" borderId="63" applyNumberFormat="1" applyFont="1" applyFill="1" applyBorder="1" applyAlignment="1" applyProtection="0">
      <alignment horizontal="center" vertical="bottom"/>
    </xf>
    <xf numFmtId="0" fontId="28" fillId="2" borderId="30" applyNumberFormat="0" applyFont="1" applyFill="1" applyBorder="1" applyAlignment="1" applyProtection="0">
      <alignment vertical="bottom"/>
    </xf>
    <xf numFmtId="61" fontId="28" fillId="3" borderId="61" applyNumberFormat="1" applyFont="1" applyFill="1" applyBorder="1" applyAlignment="1" applyProtection="0">
      <alignment horizontal="center" vertical="bottom"/>
    </xf>
    <xf numFmtId="0" fontId="77" fillId="2" borderId="30" applyNumberFormat="0" applyFont="1" applyFill="1" applyBorder="1" applyAlignment="1" applyProtection="0">
      <alignment vertical="bottom"/>
    </xf>
    <xf numFmtId="63" fontId="27" fillId="6" borderId="8" applyNumberFormat="1" applyFont="1" applyFill="1" applyBorder="1" applyAlignment="1" applyProtection="0">
      <alignment vertical="bottom"/>
    </xf>
    <xf numFmtId="60" fontId="25" fillId="7" borderId="61" applyNumberFormat="1" applyFont="1" applyFill="1" applyBorder="1" applyAlignment="1" applyProtection="0">
      <alignment horizontal="center" vertical="bottom"/>
    </xf>
    <xf numFmtId="49" fontId="78" fillId="2" borderId="30" applyNumberFormat="1" applyFont="1" applyFill="1" applyBorder="1" applyAlignment="1" applyProtection="0">
      <alignment vertical="bottom"/>
    </xf>
    <xf numFmtId="0" fontId="28" fillId="3" borderId="64" applyNumberFormat="1" applyFont="1" applyFill="1" applyBorder="1" applyAlignment="1" applyProtection="0">
      <alignment horizontal="center" vertical="bottom"/>
    </xf>
    <xf numFmtId="62" fontId="28" fillId="3" borderId="51" applyNumberFormat="1" applyFont="1" applyFill="1" applyBorder="1" applyAlignment="1" applyProtection="0">
      <alignment horizontal="center" vertical="bottom"/>
    </xf>
    <xf numFmtId="49" fontId="26" fillId="2" borderId="19" applyNumberFormat="1" applyFont="1" applyFill="1" applyBorder="1" applyAlignment="1" applyProtection="0">
      <alignment horizontal="right" vertical="bottom"/>
    </xf>
    <xf numFmtId="61" fontId="28" fillId="3" borderId="65" applyNumberFormat="1" applyFont="1" applyFill="1" applyBorder="1" applyAlignment="1" applyProtection="0">
      <alignment horizontal="center" vertical="bottom"/>
    </xf>
    <xf numFmtId="0" fontId="77" fillId="2" borderId="15" applyNumberFormat="0" applyFont="1" applyFill="1" applyBorder="1" applyAlignment="1" applyProtection="0">
      <alignment vertical="bottom"/>
    </xf>
    <xf numFmtId="0" fontId="28" fillId="3" borderId="66" applyNumberFormat="1" applyFont="1" applyFill="1" applyBorder="1" applyAlignment="1" applyProtection="0">
      <alignment horizontal="center" vertical="bottom"/>
    </xf>
    <xf numFmtId="62" fontId="28" fillId="3" borderId="53" applyNumberFormat="1" applyFont="1" applyFill="1" applyBorder="1" applyAlignment="1" applyProtection="0">
      <alignment horizontal="center" vertical="bottom"/>
    </xf>
    <xf numFmtId="0" fontId="53" fillId="2" borderId="15" applyNumberFormat="0" applyFont="1" applyFill="1" applyBorder="1" applyAlignment="1" applyProtection="0">
      <alignment vertical="bottom"/>
    </xf>
    <xf numFmtId="0" fontId="36" fillId="6" borderId="10" applyNumberFormat="0" applyFont="1" applyFill="1" applyBorder="1" applyAlignment="1" applyProtection="0">
      <alignment vertical="bottom"/>
    </xf>
    <xf numFmtId="0" fontId="28" fillId="3" borderId="67" applyNumberFormat="1" applyFont="1" applyFill="1" applyBorder="1" applyAlignment="1" applyProtection="0">
      <alignment horizontal="center" vertical="bottom"/>
    </xf>
    <xf numFmtId="62" fontId="28" fillId="3" borderId="68" applyNumberFormat="1" applyFont="1" applyFill="1" applyBorder="1" applyAlignment="1" applyProtection="0">
      <alignment horizontal="center" vertical="bottom"/>
    </xf>
    <xf numFmtId="0" fontId="53" fillId="2" borderId="48" applyNumberFormat="0" applyFont="1" applyFill="1" applyBorder="1" applyAlignment="1" applyProtection="0">
      <alignment vertical="bottom"/>
    </xf>
    <xf numFmtId="0" fontId="26" fillId="6" borderId="69" applyNumberFormat="0" applyFont="1" applyFill="1" applyBorder="1" applyAlignment="1" applyProtection="0">
      <alignment horizontal="center" vertical="bottom"/>
    </xf>
    <xf numFmtId="0" fontId="75" fillId="2" borderId="26" applyNumberFormat="0" applyFont="1" applyFill="1" applyBorder="1" applyAlignment="1" applyProtection="0">
      <alignment vertical="bottom"/>
    </xf>
    <xf numFmtId="0" fontId="28" fillId="2" borderId="32" applyNumberFormat="0" applyFont="1" applyFill="1" applyBorder="1" applyAlignment="1" applyProtection="0">
      <alignment vertical="bottom"/>
    </xf>
    <xf numFmtId="0" fontId="75" fillId="2" borderId="32" applyNumberFormat="0" applyFont="1" applyFill="1" applyBorder="1" applyAlignment="1" applyProtection="0">
      <alignment vertical="bottom"/>
    </xf>
    <xf numFmtId="0" fontId="28" fillId="2" borderId="10" applyNumberFormat="0" applyFont="1" applyFill="1" applyBorder="1" applyAlignment="1" applyProtection="0">
      <alignment vertical="bottom"/>
    </xf>
    <xf numFmtId="0" fontId="36" fillId="6" borderId="55" applyNumberFormat="0" applyFont="1" applyFill="1" applyBorder="1" applyAlignment="1" applyProtection="0">
      <alignment vertical="bottom"/>
    </xf>
    <xf numFmtId="0" fontId="36" fillId="6" borderId="20" applyNumberFormat="0" applyFont="1" applyFill="1" applyBorder="1" applyAlignment="1" applyProtection="0">
      <alignment vertical="bottom"/>
    </xf>
    <xf numFmtId="0" fontId="26" fillId="2" borderId="7" applyNumberFormat="0" applyFont="1" applyFill="1" applyBorder="1" applyAlignment="1" applyProtection="0">
      <alignment vertical="bottom"/>
    </xf>
    <xf numFmtId="0" fontId="25" fillId="7" borderId="61" applyNumberFormat="1" applyFont="1" applyFill="1" applyBorder="1" applyAlignment="1" applyProtection="0">
      <alignment horizontal="center" vertical="bottom"/>
    </xf>
    <xf numFmtId="0" fontId="75" fillId="2" borderId="30" applyNumberFormat="0" applyFont="1" applyFill="1" applyBorder="1" applyAlignment="1" applyProtection="0">
      <alignment vertical="bottom"/>
    </xf>
    <xf numFmtId="49" fontId="26" fillId="2" borderId="44" applyNumberFormat="1" applyFont="1" applyFill="1" applyBorder="1" applyAlignment="1" applyProtection="0">
      <alignment horizontal="right" vertical="bottom"/>
    </xf>
    <xf numFmtId="49" fontId="28" fillId="3" borderId="70" applyNumberFormat="1" applyFont="1" applyFill="1" applyBorder="1" applyAlignment="1" applyProtection="0">
      <alignment horizontal="center" vertical="bottom"/>
    </xf>
    <xf numFmtId="49" fontId="26" fillId="2" borderId="71" applyNumberFormat="1" applyFont="1" applyFill="1" applyBorder="1" applyAlignment="1" applyProtection="0">
      <alignment horizontal="right" vertical="bottom"/>
    </xf>
    <xf numFmtId="0" fontId="28" fillId="3" borderId="70" applyNumberFormat="1" applyFont="1" applyFill="1" applyBorder="1" applyAlignment="1" applyProtection="0">
      <alignment horizontal="center" vertical="bottom"/>
    </xf>
    <xf numFmtId="61" fontId="28" fillId="3" borderId="70" applyNumberFormat="1" applyFont="1" applyFill="1" applyBorder="1" applyAlignment="1" applyProtection="0">
      <alignment horizontal="center" vertical="bottom"/>
    </xf>
    <xf numFmtId="0" fontId="28" fillId="6" borderId="17" applyNumberFormat="0" applyFont="1" applyFill="1" applyBorder="1" applyAlignment="1" applyProtection="0">
      <alignment horizontal="center" vertical="bottom"/>
    </xf>
    <xf numFmtId="0" fontId="36" fillId="6" borderId="18" applyNumberFormat="0" applyFont="1" applyFill="1" applyBorder="1" applyAlignment="1" applyProtection="0">
      <alignment vertical="bottom"/>
    </xf>
    <xf numFmtId="0" fontId="27" fillId="6" borderId="15" applyNumberFormat="0" applyFont="1" applyFill="1" applyBorder="1" applyAlignment="1" applyProtection="0">
      <alignment vertical="bottom"/>
    </xf>
    <xf numFmtId="0" fontId="28" fillId="3" borderId="61" applyNumberFormat="1" applyFont="1" applyFill="1" applyBorder="1" applyAlignment="1" applyProtection="0">
      <alignment horizontal="center" vertical="bottom"/>
    </xf>
    <xf numFmtId="49" fontId="28" fillId="3" borderId="72" applyNumberFormat="1" applyFont="1" applyFill="1" applyBorder="1" applyAlignment="1" applyProtection="0">
      <alignment horizontal="center" vertical="bottom"/>
    </xf>
    <xf numFmtId="49" fontId="26" fillId="2" borderId="57" applyNumberFormat="1" applyFont="1" applyFill="1" applyBorder="1" applyAlignment="1" applyProtection="0">
      <alignment horizontal="right" vertical="bottom"/>
    </xf>
    <xf numFmtId="0" fontId="28" fillId="3" borderId="72" applyNumberFormat="1" applyFont="1" applyFill="1" applyBorder="1" applyAlignment="1" applyProtection="0">
      <alignment horizontal="center" vertical="bottom"/>
    </xf>
    <xf numFmtId="61" fontId="28" fillId="3" borderId="72" applyNumberFormat="1" applyFont="1" applyFill="1" applyBorder="1" applyAlignment="1" applyProtection="0">
      <alignment horizontal="center" vertical="bottom"/>
    </xf>
    <xf numFmtId="0" fontId="28" fillId="6" borderId="10" applyNumberFormat="0" applyFont="1" applyFill="1" applyBorder="1" applyAlignment="1" applyProtection="0">
      <alignment horizontal="center" vertical="bottom"/>
    </xf>
    <xf numFmtId="0" fontId="36" fillId="6" borderId="21" applyNumberFormat="0" applyFont="1" applyFill="1" applyBorder="1" applyAlignment="1" applyProtection="0">
      <alignment vertical="bottom"/>
    </xf>
    <xf numFmtId="1" fontId="25" fillId="7" borderId="61" applyNumberFormat="1" applyFont="1" applyFill="1" applyBorder="1" applyAlignment="1" applyProtection="0">
      <alignment horizontal="center" vertical="bottom"/>
    </xf>
    <xf numFmtId="0" fontId="28" fillId="3" borderId="61" applyNumberFormat="0" applyFont="1" applyFill="1" applyBorder="1" applyAlignment="1" applyProtection="0">
      <alignment horizontal="center" vertical="bottom"/>
    </xf>
    <xf numFmtId="0" fontId="36" fillId="6" borderId="17" applyNumberFormat="0" applyFont="1" applyFill="1" applyBorder="1" applyAlignment="1" applyProtection="0">
      <alignment vertical="bottom"/>
    </xf>
    <xf numFmtId="0" fontId="44" fillId="2" borderId="25" applyNumberFormat="0" applyFont="1" applyFill="1" applyBorder="1" applyAlignment="1" applyProtection="0">
      <alignment vertical="bottom"/>
    </xf>
    <xf numFmtId="0" fontId="27" fillId="2" borderId="25" applyNumberFormat="0" applyFont="1" applyFill="1" applyBorder="1" applyAlignment="1" applyProtection="0">
      <alignment horizontal="right" vertical="bottom"/>
    </xf>
    <xf numFmtId="61" fontId="44" fillId="2" borderId="25" applyNumberFormat="1" applyFont="1" applyFill="1" applyBorder="1" applyAlignment="1" applyProtection="0">
      <alignment horizontal="center" vertical="bottom"/>
    </xf>
    <xf numFmtId="0" fontId="36" fillId="2" borderId="26" applyNumberFormat="0" applyFont="1" applyFill="1" applyBorder="1" applyAlignment="1" applyProtection="0">
      <alignment horizontal="center" vertical="bottom"/>
    </xf>
    <xf numFmtId="0" fontId="36" fillId="2" borderId="25" applyNumberFormat="0" applyFont="1" applyFill="1" applyBorder="1" applyAlignment="1" applyProtection="0">
      <alignment horizontal="left" vertical="bottom"/>
    </xf>
    <xf numFmtId="0" fontId="44" fillId="2" borderId="26" applyNumberFormat="0" applyFont="1" applyFill="1" applyBorder="1" applyAlignment="1" applyProtection="0">
      <alignment vertical="bottom"/>
    </xf>
    <xf numFmtId="49" fontId="79" fillId="4" borderId="28" applyNumberFormat="1" applyFont="1" applyFill="1" applyBorder="1" applyAlignment="1" applyProtection="0">
      <alignment vertical="center"/>
    </xf>
    <xf numFmtId="0" fontId="80" fillId="4" borderId="26" applyNumberFormat="0" applyFont="1" applyFill="1" applyBorder="1" applyAlignment="1" applyProtection="0">
      <alignment vertical="bottom"/>
    </xf>
    <xf numFmtId="0" fontId="81" fillId="4" borderId="26" applyNumberFormat="0" applyFont="1" applyFill="1" applyBorder="1" applyAlignment="1" applyProtection="0">
      <alignment vertical="center"/>
    </xf>
    <xf numFmtId="0" fontId="44" fillId="4" borderId="26" applyNumberFormat="0" applyFont="1" applyFill="1" applyBorder="1" applyAlignment="1" applyProtection="0">
      <alignment vertical="bottom"/>
    </xf>
    <xf numFmtId="0" fontId="82" fillId="4" borderId="26" applyNumberFormat="0" applyFont="1" applyFill="1" applyBorder="1" applyAlignment="1" applyProtection="0">
      <alignment vertical="bottom"/>
    </xf>
    <xf numFmtId="0" fontId="82" fillId="4" borderId="29" applyNumberFormat="0" applyFont="1" applyFill="1" applyBorder="1" applyAlignment="1" applyProtection="0">
      <alignment vertical="bottom"/>
    </xf>
    <xf numFmtId="0" fontId="53" fillId="2" borderId="30" applyNumberFormat="0" applyFont="1" applyFill="1" applyBorder="1" applyAlignment="1" applyProtection="0">
      <alignment vertical="bottom"/>
    </xf>
    <xf numFmtId="49" fontId="26" fillId="3" borderId="41" applyNumberFormat="1" applyFont="1" applyFill="1" applyBorder="1" applyAlignment="1" applyProtection="0">
      <alignment vertical="bottom"/>
    </xf>
    <xf numFmtId="0" fontId="39" fillId="3" borderId="32" applyNumberFormat="0" applyFont="1" applyFill="1" applyBorder="1" applyAlignment="1" applyProtection="0">
      <alignment vertical="bottom"/>
    </xf>
    <xf numFmtId="0" fontId="41" fillId="3" borderId="32" applyNumberFormat="0" applyFont="1" applyFill="1" applyBorder="1" applyAlignment="1" applyProtection="0">
      <alignment vertical="center"/>
    </xf>
    <xf numFmtId="0" fontId="83" fillId="3" borderId="32" applyNumberFormat="0" applyFont="1" applyFill="1" applyBorder="1" applyAlignment="1" applyProtection="0">
      <alignment horizontal="right" vertical="bottom"/>
    </xf>
    <xf numFmtId="0" fontId="83" fillId="3" borderId="32" applyNumberFormat="0" applyFont="1" applyFill="1" applyBorder="1" applyAlignment="1" applyProtection="0">
      <alignment vertical="bottom"/>
    </xf>
    <xf numFmtId="0" fontId="36" fillId="3" borderId="32" applyNumberFormat="0" applyFont="1" applyFill="1" applyBorder="1" applyAlignment="1" applyProtection="0">
      <alignment vertical="bottom"/>
    </xf>
    <xf numFmtId="0" fontId="36" fillId="3" borderId="42" applyNumberFormat="0" applyFont="1" applyFill="1" applyBorder="1" applyAlignment="1" applyProtection="0">
      <alignment vertical="bottom"/>
    </xf>
    <xf numFmtId="0" fontId="48" fillId="7" borderId="17" applyNumberFormat="0" applyFont="1" applyFill="1" applyBorder="1" applyAlignment="1" applyProtection="0">
      <alignment vertical="bottom"/>
    </xf>
    <xf numFmtId="0" fontId="48" fillId="7" borderId="44" applyNumberFormat="0" applyFont="1" applyFill="1" applyBorder="1" applyAlignment="1" applyProtection="0">
      <alignment vertical="bottom"/>
    </xf>
    <xf numFmtId="0" fontId="71" fillId="7" borderId="8" applyNumberFormat="0" applyFont="1" applyFill="1" applyBorder="1" applyAlignment="1" applyProtection="0">
      <alignment horizontal="center" vertical="bottom" wrapText="1"/>
    </xf>
    <xf numFmtId="0" fontId="84" fillId="7" borderId="8" applyNumberFormat="0" applyFont="1" applyFill="1" applyBorder="1" applyAlignment="1" applyProtection="0">
      <alignment horizontal="center" vertical="bottom"/>
    </xf>
    <xf numFmtId="0" fontId="48" fillId="7" borderId="8" applyNumberFormat="0" applyFont="1" applyFill="1" applyBorder="1" applyAlignment="1" applyProtection="0">
      <alignment vertical="bottom"/>
    </xf>
    <xf numFmtId="0" fontId="84" fillId="7" borderId="8" applyNumberFormat="0" applyFont="1" applyFill="1" applyBorder="1" applyAlignment="1" applyProtection="0">
      <alignment vertical="bottom"/>
    </xf>
    <xf numFmtId="0" fontId="48" fillId="7" borderId="34" applyNumberFormat="0" applyFont="1" applyFill="1" applyBorder="1" applyAlignment="1" applyProtection="0">
      <alignment vertical="bottom"/>
    </xf>
    <xf numFmtId="0" fontId="44" fillId="6" borderId="8" applyNumberFormat="0" applyFont="1" applyFill="1" applyBorder="1" applyAlignment="1" applyProtection="0">
      <alignment vertical="bottom"/>
    </xf>
    <xf numFmtId="0" fontId="75" fillId="6" borderId="8" applyNumberFormat="0" applyFont="1" applyFill="1" applyBorder="1" applyAlignment="1" applyProtection="0">
      <alignment vertical="bottom"/>
    </xf>
    <xf numFmtId="0" fontId="75" fillId="6" borderId="8" applyNumberFormat="0" applyFont="1" applyFill="1" applyBorder="1" applyAlignment="1" applyProtection="0">
      <alignment horizontal="center" vertical="bottom"/>
    </xf>
    <xf numFmtId="0" fontId="71" fillId="7" borderId="10" applyNumberFormat="0" applyFont="1" applyFill="1" applyBorder="1" applyAlignment="1" applyProtection="0">
      <alignment horizontal="center" vertical="bottom" wrapText="1"/>
    </xf>
    <xf numFmtId="0" fontId="84" fillId="7" borderId="10" applyNumberFormat="0" applyFont="1" applyFill="1" applyBorder="1" applyAlignment="1" applyProtection="0">
      <alignment horizontal="center" vertical="bottom"/>
    </xf>
    <xf numFmtId="0" fontId="48" fillId="7" borderId="10" applyNumberFormat="0" applyFont="1" applyFill="1" applyBorder="1" applyAlignment="1" applyProtection="0">
      <alignment vertical="bottom"/>
    </xf>
    <xf numFmtId="0" fontId="84" fillId="7" borderId="10" applyNumberFormat="0" applyFont="1" applyFill="1" applyBorder="1" applyAlignment="1" applyProtection="0">
      <alignment vertical="bottom"/>
    </xf>
    <xf numFmtId="0" fontId="48" fillId="7" borderId="50" applyNumberFormat="0" applyFont="1" applyFill="1" applyBorder="1" applyAlignment="1" applyProtection="0">
      <alignment vertical="bottom"/>
    </xf>
    <xf numFmtId="49" fontId="26" fillId="3" borderId="58" applyNumberFormat="1" applyFont="1" applyFill="1" applyBorder="1" applyAlignment="1" applyProtection="0">
      <alignment horizontal="center" vertical="bottom" wrapText="1"/>
    </xf>
    <xf numFmtId="49" fontId="26" fillId="3" borderId="13" applyNumberFormat="1" applyFont="1" applyFill="1" applyBorder="1" applyAlignment="1" applyProtection="0">
      <alignment horizontal="center" vertical="bottom" wrapText="1"/>
    </xf>
    <xf numFmtId="49" fontId="26" fillId="3" borderId="13" applyNumberFormat="1" applyFont="1" applyFill="1" applyBorder="1" applyAlignment="1" applyProtection="0">
      <alignment horizontal="center" vertical="bottom"/>
    </xf>
    <xf numFmtId="49" fontId="26" fillId="3" borderId="13" applyNumberFormat="1" applyFont="1" applyFill="1" applyBorder="1" applyAlignment="1" applyProtection="0">
      <alignment vertical="bottom"/>
    </xf>
    <xf numFmtId="0" fontId="83" fillId="3" borderId="13" applyNumberFormat="0" applyFont="1" applyFill="1" applyBorder="1" applyAlignment="1" applyProtection="0">
      <alignment horizontal="right" vertical="bottom"/>
    </xf>
    <xf numFmtId="0" fontId="83" fillId="3" borderId="13" applyNumberFormat="0" applyFont="1" applyFill="1" applyBorder="1" applyAlignment="1" applyProtection="0">
      <alignment vertical="bottom"/>
    </xf>
    <xf numFmtId="0" fontId="83" fillId="3" borderId="59" applyNumberFormat="0" applyFont="1" applyFill="1" applyBorder="1" applyAlignment="1" applyProtection="0">
      <alignment vertical="bottom"/>
    </xf>
    <xf numFmtId="14" fontId="28" fillId="7" borderId="43" applyNumberFormat="1" applyFont="1" applyFill="1" applyBorder="1" applyAlignment="1" applyProtection="0">
      <alignment horizontal="center" vertical="bottom"/>
    </xf>
    <xf numFmtId="49" fontId="28" fillId="7" borderId="17" applyNumberFormat="1" applyFont="1" applyFill="1" applyBorder="1" applyAlignment="1" applyProtection="0">
      <alignment horizontal="center" vertical="bottom"/>
    </xf>
    <xf numFmtId="0" fontId="28" fillId="7" borderId="17" applyNumberFormat="1" applyFont="1" applyFill="1" applyBorder="1" applyAlignment="1" applyProtection="0">
      <alignment horizontal="center" vertical="bottom"/>
    </xf>
    <xf numFmtId="49" fontId="28" fillId="7" borderId="17" applyNumberFormat="1" applyFont="1" applyFill="1" applyBorder="1" applyAlignment="1" applyProtection="0">
      <alignment horizontal="left" vertical="bottom"/>
    </xf>
    <xf numFmtId="0" fontId="28" fillId="7" borderId="17" applyNumberFormat="0" applyFont="1" applyFill="1" applyBorder="1" applyAlignment="1" applyProtection="0">
      <alignment vertical="bottom"/>
    </xf>
    <xf numFmtId="0" fontId="28" fillId="7" borderId="44" applyNumberFormat="0" applyFont="1" applyFill="1" applyBorder="1" applyAlignment="1" applyProtection="0">
      <alignment vertical="bottom"/>
    </xf>
    <xf numFmtId="14" fontId="28" fillId="7" borderId="30" applyNumberFormat="1" applyFont="1" applyFill="1" applyBorder="1" applyAlignment="1" applyProtection="0">
      <alignment horizontal="center" vertical="bottom"/>
    </xf>
    <xf numFmtId="0" fontId="28" fillId="7" borderId="8" applyNumberFormat="0" applyFont="1" applyFill="1" applyBorder="1" applyAlignment="1" applyProtection="0">
      <alignment horizontal="center" vertical="bottom"/>
    </xf>
    <xf numFmtId="49" fontId="28" fillId="7" borderId="8" applyNumberFormat="1" applyFont="1" applyFill="1" applyBorder="1" applyAlignment="1" applyProtection="0">
      <alignment horizontal="left" vertical="bottom"/>
    </xf>
    <xf numFmtId="0" fontId="28" fillId="7" borderId="8" applyNumberFormat="0" applyFont="1" applyFill="1" applyBorder="1" applyAlignment="1" applyProtection="0">
      <alignment vertical="bottom"/>
    </xf>
    <xf numFmtId="0" fontId="28" fillId="7" borderId="34" applyNumberFormat="0" applyFont="1" applyFill="1" applyBorder="1" applyAlignment="1" applyProtection="0">
      <alignment vertical="bottom"/>
    </xf>
    <xf numFmtId="0" fontId="26" fillId="6" borderId="8" applyNumberFormat="0" applyFont="1" applyFill="1" applyBorder="1" applyAlignment="1" applyProtection="0">
      <alignment vertical="bottom"/>
    </xf>
    <xf numFmtId="49" fontId="28" fillId="7" borderId="8" applyNumberFormat="1" applyFont="1" applyFill="1" applyBorder="1" applyAlignment="1" applyProtection="0">
      <alignment horizontal="center" vertical="bottom"/>
    </xf>
    <xf numFmtId="0" fontId="28" fillId="7" borderId="8" applyNumberFormat="1" applyFont="1" applyFill="1" applyBorder="1" applyAlignment="1" applyProtection="0">
      <alignment horizontal="center" vertical="bottom"/>
    </xf>
    <xf numFmtId="18" fontId="28" fillId="7" borderId="8" applyNumberFormat="1" applyFont="1" applyFill="1" applyBorder="1" applyAlignment="1" applyProtection="0">
      <alignment horizontal="left" vertical="bottom"/>
    </xf>
    <xf numFmtId="0" fontId="28" fillId="7" borderId="8" applyNumberFormat="0" applyFont="1" applyFill="1" applyBorder="1" applyAlignment="1" applyProtection="0">
      <alignment horizontal="left" vertical="bottom"/>
    </xf>
    <xf numFmtId="59" fontId="0" fillId="7" borderId="8" applyNumberFormat="1" applyFont="1" applyFill="1" applyBorder="1" applyAlignment="1" applyProtection="0">
      <alignment vertical="bottom"/>
    </xf>
    <xf numFmtId="0" fontId="0" fillId="7" borderId="8" applyNumberFormat="0" applyFont="1" applyFill="1" applyBorder="1" applyAlignment="1" applyProtection="0">
      <alignment vertical="bottom"/>
    </xf>
    <xf numFmtId="49" fontId="28" fillId="7" borderId="30" applyNumberFormat="1" applyFont="1" applyFill="1" applyBorder="1" applyAlignment="1" applyProtection="0">
      <alignment horizontal="center" vertical="bottom"/>
    </xf>
    <xf numFmtId="0" fontId="28" fillId="7" borderId="30" applyNumberFormat="0" applyFont="1" applyFill="1" applyBorder="1" applyAlignment="1" applyProtection="0">
      <alignment vertical="bottom"/>
    </xf>
    <xf numFmtId="14" fontId="28" fillId="7" borderId="30" applyNumberFormat="1" applyFont="1" applyFill="1" applyBorder="1" applyAlignment="1" applyProtection="0">
      <alignment vertical="bottom"/>
    </xf>
    <xf numFmtId="18" fontId="0" fillId="7" borderId="8" applyNumberFormat="1" applyFont="1" applyFill="1" applyBorder="1" applyAlignment="1" applyProtection="0">
      <alignment vertical="bottom"/>
    </xf>
    <xf numFmtId="0" fontId="28" fillId="7" borderId="37" applyNumberFormat="0" applyFont="1" applyFill="1" applyBorder="1" applyAlignment="1" applyProtection="0">
      <alignment vertical="bottom"/>
    </xf>
    <xf numFmtId="0" fontId="28" fillId="7" borderId="25" applyNumberFormat="0" applyFont="1" applyFill="1" applyBorder="1" applyAlignment="1" applyProtection="0">
      <alignment vertical="bottom"/>
    </xf>
    <xf numFmtId="0" fontId="28" fillId="7" borderId="25" applyNumberFormat="0" applyFont="1" applyFill="1" applyBorder="1" applyAlignment="1" applyProtection="0">
      <alignment horizontal="center" vertical="bottom"/>
    </xf>
    <xf numFmtId="18" fontId="28" fillId="7" borderId="25" applyNumberFormat="1" applyFont="1" applyFill="1" applyBorder="1" applyAlignment="1" applyProtection="0">
      <alignment vertical="bottom"/>
    </xf>
    <xf numFmtId="0" fontId="28" fillId="7" borderId="25" applyNumberFormat="0" applyFont="1" applyFill="1" applyBorder="1" applyAlignment="1" applyProtection="0">
      <alignment horizontal="left" vertical="bottom"/>
    </xf>
    <xf numFmtId="0" fontId="28" fillId="7" borderId="38" applyNumberFormat="0" applyFont="1" applyFill="1" applyBorder="1" applyAlignment="1" applyProtection="0">
      <alignment vertical="bottom"/>
    </xf>
    <xf numFmtId="0" fontId="0" fillId="2" borderId="26" applyNumberFormat="0" applyFont="1" applyFill="1" applyBorder="1" applyAlignment="1" applyProtection="0">
      <alignment vertical="bottom"/>
    </xf>
    <xf numFmtId="0" fontId="53" fillId="2" borderId="8" applyNumberFormat="0" applyFont="1" applyFill="1" applyBorder="1" applyAlignment="1" applyProtection="0">
      <alignment vertical="bottom"/>
    </xf>
    <xf numFmtId="49" fontId="79" fillId="4" borderId="28" applyNumberFormat="1" applyFont="1" applyFill="1" applyBorder="1" applyAlignment="1" applyProtection="0">
      <alignment horizontal="left" vertical="center"/>
    </xf>
    <xf numFmtId="0" fontId="82" fillId="4" borderId="26" applyNumberFormat="0" applyFont="1" applyFill="1" applyBorder="1" applyAlignment="1" applyProtection="0">
      <alignment horizontal="center" vertical="bottom"/>
    </xf>
    <xf numFmtId="49" fontId="82" fillId="4" borderId="26" applyNumberFormat="1" applyFont="1" applyFill="1" applyBorder="1" applyAlignment="1" applyProtection="0">
      <alignment horizontal="center" vertical="bottom" wrapText="1"/>
    </xf>
    <xf numFmtId="0" fontId="82" fillId="4" borderId="73" applyNumberFormat="0" applyFont="1" applyFill="1" applyBorder="1" applyAlignment="1" applyProtection="0">
      <alignment horizontal="center" vertical="bottom" wrapText="1"/>
    </xf>
    <xf numFmtId="49" fontId="82" fillId="4" borderId="74" applyNumberFormat="1" applyFont="1" applyFill="1" applyBorder="1" applyAlignment="1" applyProtection="0">
      <alignment horizontal="center" vertical="bottom" wrapText="1"/>
    </xf>
    <xf numFmtId="0" fontId="82" fillId="4" borderId="73" applyNumberFormat="0" applyFont="1" applyFill="1" applyBorder="1" applyAlignment="1" applyProtection="0">
      <alignment vertical="bottom" wrapText="1"/>
    </xf>
    <xf numFmtId="0" fontId="82" fillId="4" borderId="29" applyNumberFormat="0" applyFont="1" applyFill="1" applyBorder="1" applyAlignment="1" applyProtection="0">
      <alignment horizontal="center" vertical="bottom" wrapText="1"/>
    </xf>
    <xf numFmtId="0" fontId="36" fillId="7" borderId="35" applyNumberFormat="0" applyFont="1" applyFill="1" applyBorder="1" applyAlignment="1" applyProtection="0">
      <alignment vertical="bottom"/>
    </xf>
    <xf numFmtId="0" fontId="36" fillId="7" borderId="55" applyNumberFormat="0" applyFont="1" applyFill="1" applyBorder="1" applyAlignment="1" applyProtection="0">
      <alignment vertical="bottom"/>
    </xf>
    <xf numFmtId="0" fontId="36" fillId="7" borderId="55" applyNumberFormat="0" applyFont="1" applyFill="1" applyBorder="1" applyAlignment="1" applyProtection="0">
      <alignment horizontal="center" vertical="bottom"/>
    </xf>
    <xf numFmtId="0" fontId="36" fillId="7" borderId="75" applyNumberFormat="0" applyFont="1" applyFill="1" applyBorder="1" applyAlignment="1" applyProtection="0">
      <alignment vertical="bottom"/>
    </xf>
    <xf numFmtId="0" fontId="36" fillId="7" borderId="76" applyNumberFormat="0" applyFont="1" applyFill="1" applyBorder="1" applyAlignment="1" applyProtection="0">
      <alignment vertical="bottom"/>
    </xf>
    <xf numFmtId="0" fontId="19" fillId="7" borderId="75" applyNumberFormat="0" applyFont="1" applyFill="1" applyBorder="1" applyAlignment="1" applyProtection="0">
      <alignment vertical="bottom"/>
    </xf>
    <xf numFmtId="0" fontId="19" fillId="7" borderId="76" applyNumberFormat="0" applyFont="1" applyFill="1" applyBorder="1" applyAlignment="1" applyProtection="0">
      <alignment vertical="bottom"/>
    </xf>
    <xf numFmtId="0" fontId="36" fillId="7" borderId="36" applyNumberFormat="0" applyFont="1" applyFill="1" applyBorder="1" applyAlignment="1" applyProtection="0">
      <alignment vertical="bottom"/>
    </xf>
    <xf numFmtId="49" fontId="3" fillId="7" borderId="30" applyNumberFormat="1" applyFont="1" applyFill="1" applyBorder="1" applyAlignment="1" applyProtection="0">
      <alignment vertical="bottom"/>
    </xf>
    <xf numFmtId="0" fontId="19" fillId="7" borderId="8" applyNumberFormat="0" applyFont="1" applyFill="1" applyBorder="1" applyAlignment="1" applyProtection="0">
      <alignment vertical="bottom"/>
    </xf>
    <xf numFmtId="49" fontId="3" fillId="7" borderId="8" applyNumberFormat="1" applyFont="1" applyFill="1" applyBorder="1" applyAlignment="1" applyProtection="0">
      <alignment horizontal="center" vertical="bottom"/>
    </xf>
    <xf numFmtId="49" fontId="3" fillId="7" borderId="19" applyNumberFormat="1" applyFont="1" applyFill="1" applyBorder="1" applyAlignment="1" applyProtection="0">
      <alignment horizontal="center" vertical="bottom"/>
    </xf>
    <xf numFmtId="0" fontId="36" fillId="7" borderId="15" applyNumberFormat="0" applyFont="1" applyFill="1" applyBorder="1" applyAlignment="1" applyProtection="0">
      <alignment vertical="bottom"/>
    </xf>
    <xf numFmtId="49" fontId="3" fillId="7" borderId="34" applyNumberFormat="1" applyFont="1" applyFill="1" applyBorder="1" applyAlignment="1" applyProtection="0">
      <alignment horizontal="center" vertical="bottom"/>
    </xf>
    <xf numFmtId="49" fontId="19" fillId="7" borderId="30" applyNumberFormat="1" applyFont="1" applyFill="1" applyBorder="1" applyAlignment="1" applyProtection="0">
      <alignment vertical="bottom"/>
    </xf>
    <xf numFmtId="2" fontId="19" fillId="7" borderId="8" applyNumberFormat="1" applyFont="1" applyFill="1" applyBorder="1" applyAlignment="1" applyProtection="0">
      <alignment horizontal="center" vertical="bottom"/>
    </xf>
    <xf numFmtId="61" fontId="19" fillId="7" borderId="8" applyNumberFormat="1" applyFont="1" applyFill="1" applyBorder="1" applyAlignment="1" applyProtection="0">
      <alignment vertical="bottom"/>
    </xf>
    <xf numFmtId="61" fontId="19" fillId="7" borderId="19" applyNumberFormat="1" applyFont="1" applyFill="1" applyBorder="1" applyAlignment="1" applyProtection="0">
      <alignment vertical="bottom"/>
    </xf>
    <xf numFmtId="49" fontId="19" fillId="7" borderId="19" applyNumberFormat="1" applyFont="1" applyFill="1" applyBorder="1" applyAlignment="1" applyProtection="0">
      <alignment vertical="bottom"/>
    </xf>
    <xf numFmtId="0" fontId="19" fillId="7" borderId="15" applyNumberFormat="0" applyFont="1" applyFill="1" applyBorder="1" applyAlignment="1" applyProtection="0">
      <alignment vertical="bottom"/>
    </xf>
    <xf numFmtId="49" fontId="19" fillId="7" borderId="34" applyNumberFormat="1" applyFont="1" applyFill="1" applyBorder="1" applyAlignment="1" applyProtection="0">
      <alignment vertical="bottom"/>
    </xf>
    <xf numFmtId="62" fontId="19" fillId="7" borderId="8" applyNumberFormat="1" applyFont="1" applyFill="1" applyBorder="1" applyAlignment="1" applyProtection="0">
      <alignment vertical="bottom"/>
    </xf>
    <xf numFmtId="49" fontId="19" fillId="7" borderId="49" applyNumberFormat="1" applyFont="1" applyFill="1" applyBorder="1" applyAlignment="1" applyProtection="0">
      <alignment vertical="bottom"/>
    </xf>
    <xf numFmtId="0" fontId="19" fillId="7" borderId="10" applyNumberFormat="0" applyFont="1" applyFill="1" applyBorder="1" applyAlignment="1" applyProtection="0">
      <alignment vertical="bottom"/>
    </xf>
    <xf numFmtId="2" fontId="19" fillId="7" borderId="10" applyNumberFormat="1" applyFont="1" applyFill="1" applyBorder="1" applyAlignment="1" applyProtection="0">
      <alignment horizontal="center" vertical="bottom"/>
    </xf>
    <xf numFmtId="61" fontId="19" fillId="7" borderId="10" applyNumberFormat="1" applyFont="1" applyFill="1" applyBorder="1" applyAlignment="1" applyProtection="0">
      <alignment vertical="bottom"/>
    </xf>
    <xf numFmtId="61" fontId="19" fillId="7" borderId="21" applyNumberFormat="1" applyFont="1" applyFill="1" applyBorder="1" applyAlignment="1" applyProtection="0">
      <alignment vertical="bottom"/>
    </xf>
    <xf numFmtId="0" fontId="36" fillId="7" borderId="20" applyNumberFormat="0" applyFont="1" applyFill="1" applyBorder="1" applyAlignment="1" applyProtection="0">
      <alignment vertical="bottom"/>
    </xf>
    <xf numFmtId="49" fontId="19" fillId="7" borderId="21" applyNumberFormat="1" applyFont="1" applyFill="1" applyBorder="1" applyAlignment="1" applyProtection="0">
      <alignment vertical="bottom"/>
    </xf>
    <xf numFmtId="0" fontId="19" fillId="7" borderId="20" applyNumberFormat="0" applyFont="1" applyFill="1" applyBorder="1" applyAlignment="1" applyProtection="0">
      <alignment vertical="bottom"/>
    </xf>
    <xf numFmtId="49" fontId="19" fillId="7" borderId="50" applyNumberFormat="1" applyFont="1" applyFill="1" applyBorder="1" applyAlignment="1" applyProtection="0">
      <alignment vertical="bottom"/>
    </xf>
    <xf numFmtId="49" fontId="3" fillId="7" borderId="43" applyNumberFormat="1" applyFont="1" applyFill="1" applyBorder="1" applyAlignment="1" applyProtection="0">
      <alignment horizontal="left" vertical="bottom"/>
    </xf>
    <xf numFmtId="0" fontId="19" fillId="7" borderId="17" applyNumberFormat="0" applyFont="1" applyFill="1" applyBorder="1" applyAlignment="1" applyProtection="0">
      <alignment vertical="bottom"/>
    </xf>
    <xf numFmtId="61" fontId="85" fillId="7" borderId="18" applyNumberFormat="1" applyFont="1" applyFill="1" applyBorder="1" applyAlignment="1" applyProtection="0">
      <alignment vertical="bottom"/>
    </xf>
    <xf numFmtId="0" fontId="70" fillId="7" borderId="16" applyNumberFormat="0" applyFont="1" applyFill="1" applyBorder="1" applyAlignment="1" applyProtection="0">
      <alignment vertical="bottom"/>
    </xf>
    <xf numFmtId="49" fontId="85" fillId="7" borderId="18" applyNumberFormat="1" applyFont="1" applyFill="1" applyBorder="1" applyAlignment="1" applyProtection="0">
      <alignment vertical="bottom"/>
    </xf>
    <xf numFmtId="49" fontId="85" fillId="7" borderId="44" applyNumberFormat="1" applyFont="1" applyFill="1" applyBorder="1" applyAlignment="1" applyProtection="0">
      <alignment vertical="bottom"/>
    </xf>
    <xf numFmtId="0" fontId="86" fillId="7" borderId="30" applyNumberFormat="0" applyFont="1" applyFill="1" applyBorder="1" applyAlignment="1" applyProtection="0">
      <alignment horizontal="left" vertical="bottom"/>
    </xf>
    <xf numFmtId="0" fontId="87" fillId="7" borderId="8" applyNumberFormat="0" applyFont="1" applyFill="1" applyBorder="1" applyAlignment="1" applyProtection="0">
      <alignment vertical="bottom"/>
    </xf>
    <xf numFmtId="61" fontId="87" fillId="7" borderId="8" applyNumberFormat="1" applyFont="1" applyFill="1" applyBorder="1" applyAlignment="1" applyProtection="0">
      <alignment vertical="bottom"/>
    </xf>
    <xf numFmtId="64" fontId="3" fillId="7" borderId="19" applyNumberFormat="1" applyFont="1" applyFill="1" applyBorder="1" applyAlignment="1" applyProtection="0">
      <alignment horizontal="center" vertical="bottom"/>
    </xf>
    <xf numFmtId="49" fontId="19" fillId="7" borderId="30" applyNumberFormat="1" applyFont="1" applyFill="1" applyBorder="1" applyAlignment="1" applyProtection="0">
      <alignment horizontal="left" vertical="bottom"/>
    </xf>
    <xf numFmtId="60" fontId="19" fillId="7" borderId="8" applyNumberFormat="1" applyFont="1" applyFill="1" applyBorder="1" applyAlignment="1" applyProtection="0">
      <alignment horizontal="center" vertical="bottom"/>
    </xf>
    <xf numFmtId="0" fontId="88" fillId="7" borderId="15" applyNumberFormat="0" applyFont="1" applyFill="1" applyBorder="1" applyAlignment="1" applyProtection="0">
      <alignment vertical="bottom"/>
    </xf>
    <xf numFmtId="0" fontId="89" fillId="7" borderId="15" applyNumberFormat="0" applyFont="1" applyFill="1" applyBorder="1" applyAlignment="1" applyProtection="0">
      <alignment vertical="bottom"/>
    </xf>
    <xf numFmtId="1" fontId="19" fillId="7" borderId="8" applyNumberFormat="1" applyFont="1" applyFill="1" applyBorder="1" applyAlignment="1" applyProtection="0">
      <alignment horizontal="center" vertical="bottom"/>
    </xf>
    <xf numFmtId="49" fontId="19" fillId="7" borderId="8" applyNumberFormat="1" applyFont="1" applyFill="1" applyBorder="1" applyAlignment="1" applyProtection="0">
      <alignment horizontal="center" vertical="bottom"/>
    </xf>
    <xf numFmtId="49" fontId="19" fillId="7" borderId="8" applyNumberFormat="1" applyFont="1" applyFill="1" applyBorder="1" applyAlignment="1" applyProtection="0">
      <alignment vertical="bottom"/>
    </xf>
    <xf numFmtId="1" fontId="28" fillId="6" borderId="8" applyNumberFormat="1" applyFont="1" applyFill="1" applyBorder="1" applyAlignment="1" applyProtection="0">
      <alignment vertical="bottom"/>
    </xf>
    <xf numFmtId="1" fontId="26" fillId="6" borderId="8" applyNumberFormat="1" applyFont="1" applyFill="1" applyBorder="1" applyAlignment="1" applyProtection="0">
      <alignment vertical="bottom"/>
    </xf>
    <xf numFmtId="0" fontId="19" fillId="7" borderId="49" applyNumberFormat="0" applyFont="1" applyFill="1" applyBorder="1" applyAlignment="1" applyProtection="0">
      <alignment vertical="bottom"/>
    </xf>
    <xf numFmtId="1" fontId="19" fillId="7" borderId="10" applyNumberFormat="1" applyFont="1" applyFill="1" applyBorder="1" applyAlignment="1" applyProtection="0">
      <alignment horizontal="center" vertical="bottom"/>
    </xf>
    <xf numFmtId="0" fontId="36" fillId="7" borderId="21" applyNumberFormat="0" applyFont="1" applyFill="1" applyBorder="1" applyAlignment="1" applyProtection="0">
      <alignment vertical="bottom"/>
    </xf>
    <xf numFmtId="0" fontId="28" fillId="6" borderId="8" applyNumberFormat="1" applyFont="1" applyFill="1" applyBorder="1" applyAlignment="1" applyProtection="0">
      <alignment vertical="bottom"/>
    </xf>
    <xf numFmtId="0" fontId="26" fillId="6" borderId="8" applyNumberFormat="1" applyFont="1" applyFill="1" applyBorder="1" applyAlignment="1" applyProtection="0">
      <alignment vertical="bottom"/>
    </xf>
    <xf numFmtId="1" fontId="19" fillId="7" borderId="17" applyNumberFormat="1" applyFont="1" applyFill="1" applyBorder="1" applyAlignment="1" applyProtection="0">
      <alignment horizontal="center" vertical="bottom"/>
    </xf>
    <xf numFmtId="61" fontId="78" fillId="7" borderId="37" applyNumberFormat="1" applyFont="1" applyFill="1" applyBorder="1" applyAlignment="1" applyProtection="0">
      <alignment horizontal="left" vertical="bottom"/>
    </xf>
    <xf numFmtId="0" fontId="19" fillId="7" borderId="25" applyNumberFormat="0" applyFont="1" applyFill="1" applyBorder="1" applyAlignment="1" applyProtection="0">
      <alignment vertical="bottom"/>
    </xf>
    <xf numFmtId="49" fontId="87" fillId="7" borderId="25" applyNumberFormat="1" applyFont="1" applyFill="1" applyBorder="1" applyAlignment="1" applyProtection="0">
      <alignment horizontal="right" vertical="bottom"/>
    </xf>
    <xf numFmtId="49" fontId="87" fillId="7" borderId="25" applyNumberFormat="1" applyFont="1" applyFill="1" applyBorder="1" applyAlignment="1" applyProtection="0">
      <alignment vertical="bottom"/>
    </xf>
    <xf numFmtId="64" fontId="3" fillId="7" borderId="52" applyNumberFormat="1" applyFont="1" applyFill="1" applyBorder="1" applyAlignment="1" applyProtection="0">
      <alignment horizontal="center" vertical="bottom"/>
    </xf>
    <xf numFmtId="0" fontId="36" fillId="7" borderId="77" applyNumberFormat="0" applyFont="1" applyFill="1" applyBorder="1" applyAlignment="1" applyProtection="0">
      <alignment vertical="bottom"/>
    </xf>
    <xf numFmtId="0" fontId="36" fillId="7" borderId="38" applyNumberFormat="0" applyFont="1" applyFill="1" applyBorder="1" applyAlignment="1" applyProtection="0">
      <alignment vertical="bottom"/>
    </xf>
    <xf numFmtId="49" fontId="28" fillId="6" borderId="8" applyNumberFormat="1" applyFont="1" applyFill="1" applyBorder="1" applyAlignment="1" applyProtection="0">
      <alignment vertical="bottom"/>
    </xf>
    <xf numFmtId="49" fontId="26" fillId="6" borderId="8" applyNumberFormat="1" applyFont="1" applyFill="1" applyBorder="1" applyAlignment="1" applyProtection="0">
      <alignment vertical="bottom"/>
    </xf>
    <xf numFmtId="49" fontId="3" fillId="7" borderId="35" applyNumberFormat="1" applyFont="1" applyFill="1" applyBorder="1" applyAlignment="1" applyProtection="0">
      <alignment vertical="bottom"/>
    </xf>
    <xf numFmtId="0" fontId="19" fillId="7" borderId="55" applyNumberFormat="0" applyFont="1" applyFill="1" applyBorder="1" applyAlignment="1" applyProtection="0">
      <alignment vertical="bottom"/>
    </xf>
    <xf numFmtId="0" fontId="19" fillId="7" borderId="55" applyNumberFormat="0" applyFont="1" applyFill="1" applyBorder="1" applyAlignment="1" applyProtection="0">
      <alignment horizontal="center" vertical="bottom"/>
    </xf>
    <xf numFmtId="61" fontId="85" fillId="7" borderId="75" applyNumberFormat="1" applyFont="1" applyFill="1" applyBorder="1" applyAlignment="1" applyProtection="0">
      <alignment vertical="bottom"/>
    </xf>
    <xf numFmtId="0" fontId="70" fillId="7" borderId="76" applyNumberFormat="0" applyFont="1" applyFill="1" applyBorder="1" applyAlignment="1" applyProtection="0">
      <alignment vertical="bottom"/>
    </xf>
    <xf numFmtId="49" fontId="85" fillId="7" borderId="75" applyNumberFormat="1" applyFont="1" applyFill="1" applyBorder="1" applyAlignment="1" applyProtection="0">
      <alignment vertical="bottom"/>
    </xf>
    <xf numFmtId="49" fontId="85" fillId="7" borderId="36" applyNumberFormat="1" applyFont="1" applyFill="1" applyBorder="1" applyAlignment="1" applyProtection="0">
      <alignment vertical="bottom"/>
    </xf>
    <xf numFmtId="0" fontId="19" fillId="7" borderId="8" applyNumberFormat="0" applyFont="1" applyFill="1" applyBorder="1" applyAlignment="1" applyProtection="0">
      <alignment horizontal="center" vertical="bottom"/>
    </xf>
    <xf numFmtId="61" fontId="85" fillId="7" borderId="19" applyNumberFormat="1" applyFont="1" applyFill="1" applyBorder="1" applyAlignment="1" applyProtection="0">
      <alignment vertical="bottom"/>
    </xf>
    <xf numFmtId="0" fontId="70" fillId="7" borderId="15" applyNumberFormat="0" applyFont="1" applyFill="1" applyBorder="1" applyAlignment="1" applyProtection="0">
      <alignment vertical="bottom"/>
    </xf>
    <xf numFmtId="49" fontId="85" fillId="7" borderId="19" applyNumberFormat="1" applyFont="1" applyFill="1" applyBorder="1" applyAlignment="1" applyProtection="0">
      <alignment vertical="bottom"/>
    </xf>
    <xf numFmtId="61" fontId="85" fillId="7" borderId="15" applyNumberFormat="1" applyFont="1" applyFill="1" applyBorder="1" applyAlignment="1" applyProtection="0">
      <alignment vertical="bottom"/>
    </xf>
    <xf numFmtId="49" fontId="85" fillId="7" borderId="34" applyNumberFormat="1" applyFont="1" applyFill="1" applyBorder="1" applyAlignment="1" applyProtection="0">
      <alignment vertical="bottom"/>
    </xf>
    <xf numFmtId="49" fontId="86" fillId="7" borderId="37" applyNumberFormat="1" applyFont="1" applyFill="1" applyBorder="1" applyAlignment="1" applyProtection="0">
      <alignment vertical="bottom"/>
    </xf>
    <xf numFmtId="0" fontId="86" fillId="7" borderId="25" applyNumberFormat="0" applyFont="1" applyFill="1" applyBorder="1" applyAlignment="1" applyProtection="0">
      <alignment vertical="bottom"/>
    </xf>
    <xf numFmtId="0" fontId="86" fillId="7" borderId="25" applyNumberFormat="0" applyFont="1" applyFill="1" applyBorder="1" applyAlignment="1" applyProtection="0">
      <alignment horizontal="center" vertical="bottom"/>
    </xf>
    <xf numFmtId="61" fontId="86" fillId="7" borderId="25" applyNumberFormat="1" applyFont="1" applyFill="1" applyBorder="1" applyAlignment="1" applyProtection="0">
      <alignment vertical="bottom"/>
    </xf>
    <xf numFmtId="61" fontId="86" fillId="7" borderId="52" applyNumberFormat="1" applyFont="1" applyFill="1" applyBorder="1" applyAlignment="1" applyProtection="0">
      <alignment horizontal="center" vertical="bottom"/>
    </xf>
    <xf numFmtId="61" fontId="86" fillId="7" borderId="77" applyNumberFormat="1" applyFont="1" applyFill="1" applyBorder="1" applyAlignment="1" applyProtection="0">
      <alignment vertical="bottom"/>
    </xf>
    <xf numFmtId="61" fontId="86" fillId="7" borderId="38" applyNumberFormat="1" applyFont="1" applyFill="1" applyBorder="1" applyAlignment="1" applyProtection="0">
      <alignment horizontal="center" vertical="bottom"/>
    </xf>
    <xf numFmtId="64" fontId="19" fillId="7" borderId="75" applyNumberFormat="1" applyFont="1" applyFill="1" applyBorder="1" applyAlignment="1" applyProtection="0">
      <alignment horizontal="center" vertical="bottom"/>
    </xf>
    <xf numFmtId="0" fontId="28" fillId="7" borderId="75" applyNumberFormat="0" applyFont="1" applyFill="1" applyBorder="1" applyAlignment="1" applyProtection="0">
      <alignment vertical="bottom"/>
    </xf>
    <xf numFmtId="61" fontId="19" fillId="7" borderId="8" applyNumberFormat="1" applyFont="1" applyFill="1" applyBorder="1" applyAlignment="1" applyProtection="0">
      <alignment horizontal="right" vertical="bottom"/>
    </xf>
    <xf numFmtId="1" fontId="78" fillId="7" borderId="19" applyNumberFormat="1" applyFont="1" applyFill="1" applyBorder="1" applyAlignment="1" applyProtection="0">
      <alignment horizontal="right" vertical="bottom"/>
    </xf>
    <xf numFmtId="49" fontId="78" fillId="7" borderId="19" applyNumberFormat="1" applyFont="1" applyFill="1" applyBorder="1" applyAlignment="1" applyProtection="0">
      <alignment vertical="bottom"/>
    </xf>
    <xf numFmtId="49" fontId="78" fillId="7" borderId="34" applyNumberFormat="1" applyFont="1" applyFill="1" applyBorder="1" applyAlignment="1" applyProtection="0">
      <alignment vertical="bottom"/>
    </xf>
    <xf numFmtId="3" fontId="19" fillId="7" borderId="8" applyNumberFormat="1" applyFont="1" applyFill="1" applyBorder="1" applyAlignment="1" applyProtection="0">
      <alignment horizontal="right" vertical="bottom"/>
    </xf>
    <xf numFmtId="61" fontId="19" fillId="7" borderId="15" applyNumberFormat="1" applyFont="1" applyFill="1" applyBorder="1" applyAlignment="1" applyProtection="0">
      <alignment vertical="bottom"/>
    </xf>
    <xf numFmtId="3" fontId="19" fillId="7" borderId="10" applyNumberFormat="1" applyFont="1" applyFill="1" applyBorder="1" applyAlignment="1" applyProtection="0">
      <alignment horizontal="right" vertical="bottom"/>
    </xf>
    <xf numFmtId="62" fontId="19" fillId="7" borderId="10" applyNumberFormat="1" applyFont="1" applyFill="1" applyBorder="1" applyAlignment="1" applyProtection="0">
      <alignment vertical="bottom"/>
    </xf>
    <xf numFmtId="61" fontId="19" fillId="7" borderId="20" applyNumberFormat="1" applyFont="1" applyFill="1" applyBorder="1" applyAlignment="1" applyProtection="0">
      <alignment vertical="bottom"/>
    </xf>
    <xf numFmtId="49" fontId="3" fillId="7" borderId="37" applyNumberFormat="1" applyFont="1" applyFill="1" applyBorder="1" applyAlignment="1" applyProtection="0">
      <alignment vertical="bottom"/>
    </xf>
    <xf numFmtId="1" fontId="19" fillId="7" borderId="25" applyNumberFormat="1" applyFont="1" applyFill="1" applyBorder="1" applyAlignment="1" applyProtection="0">
      <alignment horizontal="center" vertical="bottom"/>
    </xf>
    <xf numFmtId="61" fontId="85" fillId="7" borderId="25" applyNumberFormat="1" applyFont="1" applyFill="1" applyBorder="1" applyAlignment="1" applyProtection="0">
      <alignment vertical="bottom"/>
    </xf>
    <xf numFmtId="61" fontId="85" fillId="7" borderId="8" applyNumberFormat="1" applyFont="1" applyFill="1" applyBorder="1" applyAlignment="1" applyProtection="0">
      <alignment vertical="bottom"/>
    </xf>
    <xf numFmtId="61" fontId="85" fillId="7" borderId="34" applyNumberFormat="1" applyFont="1" applyFill="1" applyBorder="1" applyAlignment="1" applyProtection="0">
      <alignment vertical="bottom"/>
    </xf>
    <xf numFmtId="49" fontId="3" fillId="7" borderId="28" applyNumberFormat="1" applyFont="1" applyFill="1" applyBorder="1" applyAlignment="1" applyProtection="0">
      <alignment vertical="bottom"/>
    </xf>
    <xf numFmtId="0" fontId="36" fillId="7" borderId="26" applyNumberFormat="0" applyFont="1" applyFill="1" applyBorder="1" applyAlignment="1" applyProtection="0">
      <alignment vertical="bottom"/>
    </xf>
    <xf numFmtId="0" fontId="36" fillId="7" borderId="26" applyNumberFormat="0" applyFont="1" applyFill="1" applyBorder="1" applyAlignment="1" applyProtection="0">
      <alignment horizontal="center" vertical="bottom"/>
    </xf>
    <xf numFmtId="61" fontId="85" fillId="7" borderId="26" applyNumberFormat="1" applyFont="1" applyFill="1" applyBorder="1" applyAlignment="1" applyProtection="0">
      <alignment vertical="bottom"/>
    </xf>
    <xf numFmtId="49" fontId="80" fillId="4" borderId="29" applyNumberFormat="1" applyFont="1" applyFill="1" applyBorder="1" applyAlignment="1" applyProtection="0">
      <alignment horizontal="right" vertical="bottom"/>
    </xf>
    <xf numFmtId="0" fontId="36" fillId="3" borderId="35" applyNumberFormat="0" applyFont="1" applyFill="1" applyBorder="1" applyAlignment="1" applyProtection="0">
      <alignment vertical="bottom"/>
    </xf>
    <xf numFmtId="0" fontId="36" fillId="3" borderId="55" applyNumberFormat="0" applyFont="1" applyFill="1" applyBorder="1" applyAlignment="1" applyProtection="0">
      <alignment vertical="bottom"/>
    </xf>
    <xf numFmtId="0" fontId="36" fillId="3" borderId="55" applyNumberFormat="0" applyFont="1" applyFill="1" applyBorder="1" applyAlignment="1" applyProtection="0">
      <alignment horizontal="center" vertical="bottom"/>
    </xf>
    <xf numFmtId="0" fontId="36" fillId="3" borderId="36" applyNumberFormat="0" applyFont="1" applyFill="1" applyBorder="1" applyAlignment="1" applyProtection="0">
      <alignment vertical="bottom"/>
    </xf>
    <xf numFmtId="49" fontId="26" fillId="3" borderId="30" applyNumberFormat="1" applyFont="1" applyFill="1" applyBorder="1" applyAlignment="1" applyProtection="0">
      <alignment vertical="center"/>
    </xf>
    <xf numFmtId="0" fontId="28" fillId="3" borderId="8" applyNumberFormat="0" applyFont="1" applyFill="1" applyBorder="1" applyAlignment="1" applyProtection="0">
      <alignment vertical="bottom"/>
    </xf>
    <xf numFmtId="0" fontId="28" fillId="3" borderId="8" applyNumberFormat="0" applyFont="1" applyFill="1" applyBorder="1" applyAlignment="1" applyProtection="0">
      <alignment horizontal="center" vertical="bottom"/>
    </xf>
    <xf numFmtId="0" fontId="26" fillId="3" borderId="8" applyNumberFormat="0" applyFont="1" applyFill="1" applyBorder="1" applyAlignment="1" applyProtection="0">
      <alignment horizontal="center" vertical="center"/>
    </xf>
    <xf numFmtId="49" fontId="26" fillId="3" borderId="8" applyNumberFormat="1" applyFont="1" applyFill="1" applyBorder="1" applyAlignment="1" applyProtection="0">
      <alignment horizontal="center" vertical="center"/>
    </xf>
    <xf numFmtId="0" fontId="28" fillId="3" borderId="34" applyNumberFormat="0" applyFont="1" applyFill="1" applyBorder="1" applyAlignment="1" applyProtection="0">
      <alignment vertical="bottom"/>
    </xf>
    <xf numFmtId="49" fontId="26" fillId="3" borderId="37" applyNumberFormat="1" applyFont="1" applyFill="1" applyBorder="1" applyAlignment="1" applyProtection="0">
      <alignment horizontal="center" vertical="center"/>
    </xf>
    <xf numFmtId="9" fontId="26" fillId="3" borderId="25" applyNumberFormat="1" applyFont="1" applyFill="1" applyBorder="1" applyAlignment="1" applyProtection="0">
      <alignment horizontal="center" vertical="center"/>
    </xf>
    <xf numFmtId="9" fontId="26" fillId="3" borderId="38" applyNumberFormat="1" applyFont="1" applyFill="1" applyBorder="1" applyAlignment="1" applyProtection="0">
      <alignment horizontal="center" vertical="center"/>
    </xf>
    <xf numFmtId="9" fontId="26" fillId="7" borderId="78" applyNumberFormat="1" applyFont="1" applyFill="1" applyBorder="1" applyAlignment="1" applyProtection="0">
      <alignment horizontal="center" vertical="center"/>
    </xf>
    <xf numFmtId="49" fontId="51" fillId="7" borderId="79" applyNumberFormat="1" applyFont="1" applyFill="1" applyBorder="1" applyAlignment="1" applyProtection="0">
      <alignment horizontal="center" vertical="bottom"/>
    </xf>
    <xf numFmtId="0" fontId="0" fillId="7" borderId="55" applyNumberFormat="0" applyFont="1" applyFill="1" applyBorder="1" applyAlignment="1" applyProtection="0">
      <alignment horizontal="center" vertical="bottom"/>
    </xf>
    <xf numFmtId="65" fontId="57" fillId="7" borderId="55" applyNumberFormat="1" applyFont="1" applyFill="1" applyBorder="1" applyAlignment="1" applyProtection="0">
      <alignment horizontal="center" vertical="bottom"/>
    </xf>
    <xf numFmtId="65" fontId="57" fillId="7" borderId="36" applyNumberFormat="1" applyFont="1" applyFill="1" applyBorder="1" applyAlignment="1" applyProtection="0">
      <alignment horizontal="center" vertical="bottom"/>
    </xf>
    <xf numFmtId="0" fontId="28" fillId="7" borderId="80" applyNumberFormat="0" applyFont="1" applyFill="1" applyBorder="1" applyAlignment="1" applyProtection="0">
      <alignment horizontal="center" vertical="center"/>
    </xf>
    <xf numFmtId="49" fontId="51" fillId="7" borderId="81" applyNumberFormat="1" applyFont="1" applyFill="1" applyBorder="1" applyAlignment="1" applyProtection="0">
      <alignment horizontal="center" vertical="bottom"/>
    </xf>
    <xf numFmtId="0" fontId="0" fillId="7" borderId="10" applyNumberFormat="0" applyFont="1" applyFill="1" applyBorder="1" applyAlignment="1" applyProtection="0">
      <alignment horizontal="center" vertical="bottom"/>
    </xf>
    <xf numFmtId="61" fontId="57" fillId="7" borderId="10" applyNumberFormat="1" applyFont="1" applyFill="1" applyBorder="1" applyAlignment="1" applyProtection="0">
      <alignment horizontal="center" vertical="bottom"/>
    </xf>
    <xf numFmtId="61" fontId="57" fillId="7" borderId="50" applyNumberFormat="1" applyFont="1" applyFill="1" applyBorder="1" applyAlignment="1" applyProtection="0">
      <alignment horizontal="center" vertical="bottom"/>
    </xf>
    <xf numFmtId="9" fontId="26" fillId="7" borderId="82" applyNumberFormat="1" applyFont="1" applyFill="1" applyBorder="1" applyAlignment="1" applyProtection="0">
      <alignment horizontal="center" vertical="center"/>
    </xf>
    <xf numFmtId="49" fontId="51" fillId="7" borderId="83" applyNumberFormat="1" applyFont="1" applyFill="1" applyBorder="1" applyAlignment="1" applyProtection="0">
      <alignment horizontal="center" vertical="bottom"/>
    </xf>
    <xf numFmtId="9" fontId="51" fillId="7" borderId="17" applyNumberFormat="1" applyFont="1" applyFill="1" applyBorder="1" applyAlignment="1" applyProtection="0">
      <alignment horizontal="center" vertical="bottom"/>
    </xf>
    <xf numFmtId="65" fontId="57" fillId="7" borderId="17" applyNumberFormat="1" applyFont="1" applyFill="1" applyBorder="1" applyAlignment="1" applyProtection="0">
      <alignment horizontal="center" vertical="bottom"/>
    </xf>
    <xf numFmtId="65" fontId="57" fillId="7" borderId="44" applyNumberFormat="1" applyFont="1" applyFill="1" applyBorder="1" applyAlignment="1" applyProtection="0">
      <alignment horizontal="center" vertical="bottom"/>
    </xf>
    <xf numFmtId="0" fontId="0" fillId="7" borderId="17" applyNumberFormat="0" applyFont="1" applyFill="1" applyBorder="1" applyAlignment="1" applyProtection="0">
      <alignment horizontal="center" vertical="bottom"/>
    </xf>
    <xf numFmtId="0" fontId="19" fillId="7" borderId="43" applyNumberFormat="0" applyFont="1" applyFill="1" applyBorder="1" applyAlignment="1" applyProtection="0">
      <alignment vertical="bottom"/>
    </xf>
    <xf numFmtId="0" fontId="19" fillId="7" borderId="17" applyNumberFormat="0" applyFont="1" applyFill="1" applyBorder="1" applyAlignment="1" applyProtection="0">
      <alignment horizontal="center" vertical="bottom"/>
    </xf>
    <xf numFmtId="49" fontId="19" fillId="7" borderId="17" applyNumberFormat="1" applyFont="1" applyFill="1" applyBorder="1" applyAlignment="1" applyProtection="0">
      <alignment horizontal="right" vertical="bottom"/>
    </xf>
    <xf numFmtId="61" fontId="19" fillId="7" borderId="17" applyNumberFormat="1" applyFont="1" applyFill="1" applyBorder="1" applyAlignment="1" applyProtection="0">
      <alignment horizontal="center" vertical="bottom"/>
    </xf>
    <xf numFmtId="49" fontId="19" fillId="7" borderId="17" applyNumberFormat="1" applyFont="1" applyFill="1" applyBorder="1" applyAlignment="1" applyProtection="0">
      <alignment vertical="bottom"/>
    </xf>
    <xf numFmtId="0" fontId="36" fillId="7" borderId="37" applyNumberFormat="0" applyFont="1" applyFill="1" applyBorder="1" applyAlignment="1" applyProtection="0">
      <alignment vertical="bottom"/>
    </xf>
    <xf numFmtId="0" fontId="36" fillId="7" borderId="25" applyNumberFormat="0" applyFont="1" applyFill="1" applyBorder="1" applyAlignment="1" applyProtection="0">
      <alignment horizontal="center" vertical="bottom"/>
    </xf>
    <xf numFmtId="0" fontId="62" fillId="2" borderId="55" applyNumberFormat="0" applyFont="1" applyFill="1" applyBorder="1" applyAlignment="1" applyProtection="0">
      <alignment vertical="bottom"/>
    </xf>
    <xf numFmtId="0" fontId="62" fillId="2" borderId="55" applyNumberFormat="0" applyFont="1" applyFill="1" applyBorder="1" applyAlignment="1" applyProtection="0">
      <alignment horizontal="center" vertical="bottom"/>
    </xf>
    <xf numFmtId="0" fontId="62" fillId="2" borderId="8" applyNumberFormat="0" applyFont="1" applyFill="1" applyBorder="1" applyAlignment="1" applyProtection="0">
      <alignment horizontal="center" vertical="bottom"/>
    </xf>
    <xf numFmtId="0" fontId="36" fillId="6" borderId="7" applyNumberFormat="0" applyFont="1" applyFill="1" applyBorder="1" applyAlignment="1" applyProtection="0">
      <alignment vertical="bottom"/>
    </xf>
    <xf numFmtId="0" fontId="36" fillId="6" borderId="8" applyNumberFormat="0" applyFont="1" applyFill="1" applyBorder="1" applyAlignment="1" applyProtection="0">
      <alignment horizontal="center" vertical="bottom"/>
    </xf>
    <xf numFmtId="0" fontId="36" fillId="6" borderId="22" applyNumberFormat="0" applyFont="1" applyFill="1" applyBorder="1" applyAlignment="1" applyProtection="0">
      <alignment vertical="bottom"/>
    </xf>
    <xf numFmtId="0" fontId="36" fillId="6" borderId="23" applyNumberFormat="0" applyFont="1" applyFill="1" applyBorder="1" applyAlignment="1" applyProtection="0">
      <alignment vertical="bottom"/>
    </xf>
    <xf numFmtId="0" fontId="36" fillId="6" borderId="23" applyNumberFormat="0" applyFont="1" applyFill="1" applyBorder="1" applyAlignment="1" applyProtection="0">
      <alignment horizontal="center" vertical="bottom"/>
    </xf>
    <xf numFmtId="0" fontId="44" fillId="6" borderId="23" applyNumberFormat="0" applyFont="1" applyFill="1" applyBorder="1" applyAlignment="1" applyProtection="0">
      <alignment vertical="bottom"/>
    </xf>
    <xf numFmtId="0" fontId="75" fillId="6" borderId="23" applyNumberFormat="0" applyFont="1" applyFill="1" applyBorder="1" applyAlignment="1" applyProtection="0">
      <alignment vertical="bottom"/>
    </xf>
    <xf numFmtId="0" fontId="75" fillId="6" borderId="23" applyNumberFormat="0" applyFont="1" applyFill="1" applyBorder="1" applyAlignment="1" applyProtection="0">
      <alignment horizontal="center" vertical="bottom"/>
    </xf>
    <xf numFmtId="0" fontId="27" fillId="6" borderId="23" applyNumberFormat="0" applyFont="1" applyFill="1" applyBorder="1" applyAlignment="1" applyProtection="0">
      <alignment vertical="bottom"/>
    </xf>
    <xf numFmtId="0" fontId="0" fillId="6" borderId="23" applyNumberFormat="0" applyFont="1" applyFill="1" applyBorder="1" applyAlignment="1" applyProtection="0">
      <alignment vertical="bottom"/>
    </xf>
    <xf numFmtId="0" fontId="0" fillId="6" borderId="24" applyNumberFormat="0" applyFont="1" applyFill="1" applyBorder="1" applyAlignment="1" applyProtection="0">
      <alignment vertical="bottom"/>
    </xf>
    <xf numFmtId="0" fontId="0" applyNumberFormat="1" applyFont="1" applyFill="0" applyBorder="0" applyAlignment="1" applyProtection="0">
      <alignment vertical="bottom"/>
    </xf>
    <xf numFmtId="0" fontId="7" fillId="6" borderId="4" applyNumberFormat="0" applyFont="1" applyFill="1" applyBorder="1" applyAlignment="1" applyProtection="0">
      <alignment vertical="bottom"/>
    </xf>
    <xf numFmtId="0" fontId="7" fillId="6" borderId="5" applyNumberFormat="0" applyFont="1" applyFill="1" applyBorder="1" applyAlignment="1" applyProtection="0">
      <alignment horizontal="center" vertical="bottom"/>
    </xf>
    <xf numFmtId="49" fontId="7" fillId="6" borderId="5" applyNumberFormat="1" applyFont="1" applyFill="1" applyBorder="1" applyAlignment="1" applyProtection="0">
      <alignment horizontal="center" vertical="bottom"/>
    </xf>
    <xf numFmtId="49" fontId="7" fillId="6" borderId="5" applyNumberFormat="1" applyFont="1" applyFill="1" applyBorder="1" applyAlignment="1" applyProtection="0">
      <alignment vertical="bottom"/>
    </xf>
    <xf numFmtId="0" fontId="7" fillId="6" borderId="5" applyNumberFormat="0" applyFont="1" applyFill="1" applyBorder="1" applyAlignment="1" applyProtection="0">
      <alignment vertical="bottom"/>
    </xf>
    <xf numFmtId="0" fontId="7" fillId="6" borderId="6" applyNumberFormat="0" applyFont="1" applyFill="1" applyBorder="1" applyAlignment="1" applyProtection="0">
      <alignment vertical="bottom"/>
    </xf>
    <xf numFmtId="0" fontId="3" fillId="3" borderId="84" applyNumberFormat="0" applyFont="1" applyFill="1" applyBorder="1" applyAlignment="1" applyProtection="0">
      <alignment horizontal="left" vertical="bottom"/>
    </xf>
    <xf numFmtId="0" fontId="3" fillId="3" borderId="84" applyNumberFormat="1" applyFont="1" applyFill="1" applyBorder="1" applyAlignment="1" applyProtection="0">
      <alignment horizontal="center" vertical="bottom"/>
    </xf>
    <xf numFmtId="2" fontId="3" fillId="3" borderId="84" applyNumberFormat="1" applyFont="1" applyFill="1" applyBorder="1" applyAlignment="1" applyProtection="0">
      <alignment horizontal="center" vertical="bottom"/>
    </xf>
    <xf numFmtId="49" fontId="0" fillId="3" borderId="84" applyNumberFormat="1" applyFont="1" applyFill="1" applyBorder="1" applyAlignment="1" applyProtection="0">
      <alignment vertical="bottom"/>
    </xf>
    <xf numFmtId="0" fontId="0" fillId="3" borderId="84" applyNumberFormat="0" applyFont="1" applyFill="1" applyBorder="1" applyAlignment="1" applyProtection="0">
      <alignment vertical="bottom"/>
    </xf>
    <xf numFmtId="14" fontId="0" fillId="3" borderId="84" applyNumberFormat="1" applyFont="1" applyFill="1" applyBorder="1" applyAlignment="1" applyProtection="0">
      <alignment vertical="bottom"/>
    </xf>
    <xf numFmtId="0" fontId="0" fillId="3" borderId="85" applyNumberFormat="0" applyFont="1" applyFill="1" applyBorder="1" applyAlignment="1" applyProtection="0">
      <alignment vertical="bottom"/>
    </xf>
    <xf numFmtId="0" fontId="3" fillId="3" borderId="85" applyNumberFormat="1" applyFont="1" applyFill="1" applyBorder="1" applyAlignment="1" applyProtection="0">
      <alignment horizontal="center" vertical="bottom"/>
    </xf>
    <xf numFmtId="2" fontId="3" fillId="3" borderId="85" applyNumberFormat="1" applyFont="1" applyFill="1" applyBorder="1" applyAlignment="1" applyProtection="0">
      <alignment horizontal="center" vertical="bottom"/>
    </xf>
    <xf numFmtId="49" fontId="0" fillId="3" borderId="85" applyNumberFormat="1" applyFont="1" applyFill="1" applyBorder="1" applyAlignment="1" applyProtection="0">
      <alignment vertical="bottom"/>
    </xf>
    <xf numFmtId="14" fontId="0" fillId="3" borderId="85" applyNumberFormat="1" applyFont="1" applyFill="1" applyBorder="1" applyAlignment="1" applyProtection="0">
      <alignment vertical="bottom"/>
    </xf>
    <xf numFmtId="0" fontId="0" fillId="3" borderId="86" applyNumberFormat="0" applyFont="1" applyFill="1" applyBorder="1" applyAlignment="1" applyProtection="0">
      <alignment vertical="bottom"/>
    </xf>
    <xf numFmtId="0" fontId="3" fillId="3" borderId="86" applyNumberFormat="1" applyFont="1" applyFill="1" applyBorder="1" applyAlignment="1" applyProtection="0">
      <alignment horizontal="center" vertical="bottom"/>
    </xf>
    <xf numFmtId="2" fontId="3" fillId="3" borderId="86" applyNumberFormat="1" applyFont="1" applyFill="1" applyBorder="1" applyAlignment="1" applyProtection="0">
      <alignment horizontal="center" vertical="bottom"/>
    </xf>
    <xf numFmtId="14" fontId="0" fillId="3" borderId="86" applyNumberFormat="1" applyFont="1" applyFill="1" applyBorder="1" applyAlignment="1" applyProtection="0">
      <alignment vertical="bottom"/>
    </xf>
    <xf numFmtId="0" fontId="3" fillId="3" borderId="87" applyNumberFormat="0" applyFont="1" applyFill="1" applyBorder="1" applyAlignment="1" applyProtection="0">
      <alignment horizontal="left" vertical="bottom"/>
    </xf>
    <xf numFmtId="0" fontId="3" fillId="3" borderId="87" applyNumberFormat="1" applyFont="1" applyFill="1" applyBorder="1" applyAlignment="1" applyProtection="0">
      <alignment horizontal="center" vertical="bottom"/>
    </xf>
    <xf numFmtId="2" fontId="3" fillId="3" borderId="87" applyNumberFormat="1" applyFont="1" applyFill="1" applyBorder="1" applyAlignment="1" applyProtection="0">
      <alignment horizontal="center" vertical="bottom"/>
    </xf>
    <xf numFmtId="49" fontId="0" fillId="3" borderId="87" applyNumberFormat="1" applyFont="1" applyFill="1" applyBorder="1" applyAlignment="1" applyProtection="0">
      <alignment vertical="bottom"/>
    </xf>
    <xf numFmtId="0" fontId="0" fillId="3" borderId="87" applyNumberFormat="0" applyFont="1" applyFill="1" applyBorder="1" applyAlignment="1" applyProtection="0">
      <alignment vertical="bottom"/>
    </xf>
    <xf numFmtId="0" fontId="3" fillId="3" borderId="87" applyNumberFormat="0" applyFont="1" applyFill="1" applyBorder="1" applyAlignment="1" applyProtection="0">
      <alignment horizontal="center" vertical="bottom"/>
    </xf>
    <xf numFmtId="0" fontId="3" fillId="3" borderId="85" applyNumberFormat="0" applyFont="1" applyFill="1" applyBorder="1" applyAlignment="1" applyProtection="0">
      <alignment horizontal="center" vertical="bottom"/>
    </xf>
    <xf numFmtId="0" fontId="3" fillId="3" borderId="86" applyNumberFormat="0" applyFont="1" applyFill="1" applyBorder="1" applyAlignment="1" applyProtection="0">
      <alignment horizontal="center" vertical="bottom"/>
    </xf>
    <xf numFmtId="14" fontId="0" fillId="3" borderId="87" applyNumberFormat="1" applyFont="1" applyFill="1" applyBorder="1" applyAlignment="1" applyProtection="0">
      <alignment vertical="bottom"/>
    </xf>
    <xf numFmtId="49" fontId="0" fillId="3" borderId="86" applyNumberFormat="1" applyFont="1" applyFill="1" applyBorder="1" applyAlignment="1" applyProtection="0">
      <alignment vertical="bottom"/>
    </xf>
    <xf numFmtId="0" fontId="3" fillId="3" borderId="85" applyNumberFormat="0" applyFont="1" applyFill="1" applyBorder="1" applyAlignment="1" applyProtection="0">
      <alignment horizontal="left" vertical="bottom"/>
    </xf>
    <xf numFmtId="18" fontId="0" fillId="3" borderId="85" applyNumberFormat="1" applyFont="1" applyFill="1" applyBorder="1" applyAlignment="1" applyProtection="0">
      <alignment vertical="bottom"/>
    </xf>
    <xf numFmtId="1" fontId="3" fillId="3" borderId="85" applyNumberFormat="1" applyFont="1" applyFill="1" applyBorder="1" applyAlignment="1" applyProtection="0">
      <alignment horizontal="center" vertical="bottom"/>
    </xf>
    <xf numFmtId="66" fontId="0" fillId="3" borderId="85" applyNumberFormat="1" applyFont="1" applyFill="1" applyBorder="1" applyAlignment="1" applyProtection="0">
      <alignment vertical="bottom"/>
    </xf>
    <xf numFmtId="0" fontId="0" fillId="3" borderId="85" applyNumberFormat="0" applyFont="1" applyFill="1" applyBorder="1" applyAlignment="1" applyProtection="0">
      <alignment vertical="bottom" wrapText="1"/>
    </xf>
    <xf numFmtId="67" fontId="0" fillId="3" borderId="85" applyNumberFormat="1" applyFont="1" applyFill="1" applyBorder="1" applyAlignment="1" applyProtection="0">
      <alignment vertical="bottom"/>
    </xf>
    <xf numFmtId="0" fontId="0" fillId="3" borderId="85" applyNumberFormat="1" applyFont="1" applyFill="1" applyBorder="1" applyAlignment="1" applyProtection="0">
      <alignment vertical="bottom"/>
    </xf>
    <xf numFmtId="2" fontId="0" fillId="3" borderId="85" applyNumberFormat="1" applyFont="1" applyFill="1" applyBorder="1" applyAlignment="1" applyProtection="0">
      <alignment vertical="bottom"/>
    </xf>
    <xf numFmtId="68" fontId="0" fillId="3" borderId="85" applyNumberFormat="1" applyFont="1" applyFill="1" applyBorder="1" applyAlignment="1" applyProtection="0">
      <alignment vertical="bottom"/>
    </xf>
    <xf numFmtId="0" fontId="0" fillId="3" borderId="87" applyNumberFormat="1" applyFont="1" applyFill="1" applyBorder="1" applyAlignment="1" applyProtection="0">
      <alignment vertical="bottom"/>
    </xf>
    <xf numFmtId="18" fontId="0" fillId="3" borderId="87" applyNumberFormat="1" applyFont="1" applyFill="1" applyBorder="1" applyAlignment="1" applyProtection="0">
      <alignment vertical="bottom"/>
    </xf>
    <xf numFmtId="69" fontId="0" fillId="3" borderId="85" applyNumberFormat="1" applyFont="1" applyFill="1" applyBorder="1" applyAlignment="1" applyProtection="0">
      <alignment vertical="bottom"/>
    </xf>
    <xf numFmtId="20" fontId="0" fillId="3" borderId="85" applyNumberFormat="1" applyFont="1" applyFill="1" applyBorder="1" applyAlignment="1" applyProtection="0">
      <alignment vertical="bottom"/>
    </xf>
    <xf numFmtId="0" fontId="0" applyNumberFormat="1" applyFont="1" applyFill="0" applyBorder="0" applyAlignment="1" applyProtection="0">
      <alignment vertical="bottom"/>
    </xf>
    <xf numFmtId="1" fontId="90" fillId="6" borderId="88" applyNumberFormat="1" applyFont="1" applyFill="1" applyBorder="1" applyAlignment="1" applyProtection="0">
      <alignment horizontal="center" vertical="bottom"/>
    </xf>
    <xf numFmtId="49" fontId="91" fillId="6" borderId="89" applyNumberFormat="1" applyFont="1" applyFill="1" applyBorder="1" applyAlignment="1" applyProtection="0">
      <alignment vertical="bottom"/>
    </xf>
    <xf numFmtId="49" fontId="91" fillId="6" borderId="89" applyNumberFormat="1" applyFont="1" applyFill="1" applyBorder="1" applyAlignment="1" applyProtection="0">
      <alignment horizontal="center" vertical="bottom" wrapText="1"/>
    </xf>
    <xf numFmtId="49" fontId="91" fillId="6" borderId="5" applyNumberFormat="1" applyFont="1" applyFill="1" applyBorder="1" applyAlignment="1" applyProtection="0">
      <alignment horizontal="center" vertical="bottom" wrapText="1"/>
    </xf>
    <xf numFmtId="49" fontId="90" fillId="6" borderId="5" applyNumberFormat="1" applyFont="1" applyFill="1" applyBorder="1" applyAlignment="1" applyProtection="0">
      <alignment vertical="bottom"/>
    </xf>
    <xf numFmtId="2" fontId="90" fillId="6" borderId="5" applyNumberFormat="1" applyFont="1" applyFill="1" applyBorder="1" applyAlignment="1" applyProtection="0">
      <alignment vertical="bottom"/>
    </xf>
    <xf numFmtId="0" fontId="90" fillId="6" borderId="5" applyNumberFormat="0" applyFont="1" applyFill="1" applyBorder="1" applyAlignment="1" applyProtection="0">
      <alignment vertical="bottom"/>
    </xf>
    <xf numFmtId="0" fontId="90" fillId="6" borderId="6" applyNumberFormat="0" applyFont="1" applyFill="1" applyBorder="1" applyAlignment="1" applyProtection="0">
      <alignment vertical="bottom"/>
    </xf>
    <xf numFmtId="1" fontId="51" fillId="8" borderId="90" applyNumberFormat="1" applyFont="1" applyFill="1" applyBorder="1" applyAlignment="1" applyProtection="0">
      <alignment horizontal="center" vertical="bottom"/>
    </xf>
    <xf numFmtId="49" fontId="51" fillId="8" borderId="55" applyNumberFormat="1" applyFont="1" applyFill="1" applyBorder="1" applyAlignment="1" applyProtection="0">
      <alignment horizontal="left" vertical="bottom"/>
    </xf>
    <xf numFmtId="0" fontId="51" fillId="8" borderId="55" applyNumberFormat="1" applyFont="1" applyFill="1" applyBorder="1" applyAlignment="1" applyProtection="0">
      <alignment vertical="bottom"/>
    </xf>
    <xf numFmtId="9" fontId="51" fillId="8" borderId="55" applyNumberFormat="1" applyFont="1" applyFill="1" applyBorder="1" applyAlignment="1" applyProtection="0">
      <alignment vertical="bottom"/>
    </xf>
    <xf numFmtId="14" fontId="51" fillId="8" borderId="55" applyNumberFormat="1" applyFont="1" applyFill="1" applyBorder="1" applyAlignment="1" applyProtection="0">
      <alignment vertical="bottom"/>
    </xf>
    <xf numFmtId="0" fontId="51" fillId="8" borderId="8" applyNumberFormat="1" applyFont="1" applyFill="1" applyBorder="1" applyAlignment="1" applyProtection="0">
      <alignment vertical="bottom"/>
    </xf>
    <xf numFmtId="0" fontId="51" fillId="8" borderId="8" applyNumberFormat="0" applyFont="1" applyFill="1" applyBorder="1" applyAlignment="1" applyProtection="0">
      <alignment vertical="bottom"/>
    </xf>
    <xf numFmtId="2" fontId="51" fillId="8" borderId="8" applyNumberFormat="1" applyFont="1" applyFill="1" applyBorder="1" applyAlignment="1" applyProtection="0">
      <alignment vertical="bottom"/>
    </xf>
    <xf numFmtId="0" fontId="51" fillId="8" borderId="9" applyNumberFormat="0" applyFont="1" applyFill="1" applyBorder="1" applyAlignment="1" applyProtection="0">
      <alignment vertical="bottom"/>
    </xf>
    <xf numFmtId="1" fontId="51" fillId="8" borderId="7" applyNumberFormat="1" applyFont="1" applyFill="1" applyBorder="1" applyAlignment="1" applyProtection="0">
      <alignment horizontal="center" vertical="bottom"/>
    </xf>
    <xf numFmtId="49" fontId="51" fillId="8" borderId="8" applyNumberFormat="1" applyFont="1" applyFill="1" applyBorder="1" applyAlignment="1" applyProtection="0">
      <alignment horizontal="left" vertical="bottom"/>
    </xf>
    <xf numFmtId="9" fontId="51" fillId="8" borderId="8" applyNumberFormat="1" applyFont="1" applyFill="1" applyBorder="1" applyAlignment="1" applyProtection="0">
      <alignment vertical="bottom"/>
    </xf>
    <xf numFmtId="14" fontId="51" fillId="8" borderId="8" applyNumberFormat="1" applyFont="1" applyFill="1" applyBorder="1" applyAlignment="1" applyProtection="0">
      <alignment vertical="bottom"/>
    </xf>
    <xf numFmtId="1" fontId="51" fillId="8" borderId="91" applyNumberFormat="1" applyFont="1" applyFill="1" applyBorder="1" applyAlignment="1" applyProtection="0">
      <alignment horizontal="center" vertical="bottom"/>
    </xf>
    <xf numFmtId="49" fontId="51" fillId="8" borderId="10" applyNumberFormat="1" applyFont="1" applyFill="1" applyBorder="1" applyAlignment="1" applyProtection="0">
      <alignment horizontal="left" vertical="bottom"/>
    </xf>
    <xf numFmtId="0" fontId="51" fillId="8" borderId="10" applyNumberFormat="1" applyFont="1" applyFill="1" applyBorder="1" applyAlignment="1" applyProtection="0">
      <alignment vertical="bottom"/>
    </xf>
    <xf numFmtId="9" fontId="51" fillId="8" borderId="10" applyNumberFormat="1" applyFont="1" applyFill="1" applyBorder="1" applyAlignment="1" applyProtection="0">
      <alignment vertical="bottom"/>
    </xf>
    <xf numFmtId="14" fontId="51" fillId="8" borderId="10" applyNumberFormat="1" applyFont="1" applyFill="1" applyBorder="1" applyAlignment="1" applyProtection="0">
      <alignment vertical="bottom"/>
    </xf>
    <xf numFmtId="0" fontId="51" fillId="8" borderId="10" applyNumberFormat="0" applyFont="1" applyFill="1" applyBorder="1" applyAlignment="1" applyProtection="0">
      <alignment vertical="bottom"/>
    </xf>
    <xf numFmtId="2" fontId="51" fillId="8" borderId="10" applyNumberFormat="1" applyFont="1" applyFill="1" applyBorder="1" applyAlignment="1" applyProtection="0">
      <alignment vertical="bottom"/>
    </xf>
    <xf numFmtId="0" fontId="51" fillId="8" borderId="92" applyNumberFormat="0" applyFont="1" applyFill="1" applyBorder="1" applyAlignment="1" applyProtection="0">
      <alignment vertical="bottom"/>
    </xf>
    <xf numFmtId="1" fontId="51" fillId="8" borderId="39" applyNumberFormat="1" applyFont="1" applyFill="1" applyBorder="1" applyAlignment="1" applyProtection="0">
      <alignment horizontal="center" vertical="bottom"/>
    </xf>
    <xf numFmtId="49" fontId="51" fillId="8" borderId="39" applyNumberFormat="1" applyFont="1" applyFill="1" applyBorder="1" applyAlignment="1" applyProtection="0">
      <alignment horizontal="left" vertical="bottom"/>
    </xf>
    <xf numFmtId="0" fontId="51" fillId="8" borderId="39" applyNumberFormat="1" applyFont="1" applyFill="1" applyBorder="1" applyAlignment="1" applyProtection="0">
      <alignment vertical="bottom"/>
    </xf>
    <xf numFmtId="9" fontId="51" fillId="8" borderId="39" applyNumberFormat="1" applyFont="1" applyFill="1" applyBorder="1" applyAlignment="1" applyProtection="0">
      <alignment vertical="bottom"/>
    </xf>
    <xf numFmtId="14" fontId="51" fillId="8" borderId="39" applyNumberFormat="1" applyFont="1" applyFill="1" applyBorder="1" applyAlignment="1" applyProtection="0">
      <alignment vertical="bottom"/>
    </xf>
    <xf numFmtId="0" fontId="51" fillId="8" borderId="39" applyNumberFormat="0" applyFont="1" applyFill="1" applyBorder="1" applyAlignment="1" applyProtection="0">
      <alignment vertical="bottom"/>
    </xf>
    <xf numFmtId="2" fontId="51" fillId="8" borderId="39" applyNumberFormat="1" applyFont="1" applyFill="1" applyBorder="1" applyAlignment="1" applyProtection="0">
      <alignment vertical="bottom"/>
    </xf>
    <xf numFmtId="1" fontId="51" fillId="8" borderId="33" applyNumberFormat="1" applyFont="1" applyFill="1" applyBorder="1" applyAlignment="1" applyProtection="0">
      <alignment horizontal="center" vertical="bottom"/>
    </xf>
    <xf numFmtId="49" fontId="51" fillId="8" borderId="17" applyNumberFormat="1" applyFont="1" applyFill="1" applyBorder="1" applyAlignment="1" applyProtection="0">
      <alignment horizontal="left" vertical="bottom"/>
    </xf>
    <xf numFmtId="0" fontId="51" fillId="8" borderId="17" applyNumberFormat="1" applyFont="1" applyFill="1" applyBorder="1" applyAlignment="1" applyProtection="0">
      <alignment vertical="bottom"/>
    </xf>
    <xf numFmtId="9" fontId="51" fillId="8" borderId="17" applyNumberFormat="1" applyFont="1" applyFill="1" applyBorder="1" applyAlignment="1" applyProtection="0">
      <alignment vertical="bottom"/>
    </xf>
    <xf numFmtId="14" fontId="51" fillId="8" borderId="17" applyNumberFormat="1" applyFont="1" applyFill="1" applyBorder="1" applyAlignment="1" applyProtection="0">
      <alignment vertical="bottom"/>
    </xf>
    <xf numFmtId="0" fontId="51" fillId="8" borderId="17" applyNumberFormat="0" applyFont="1" applyFill="1" applyBorder="1" applyAlignment="1" applyProtection="0">
      <alignment vertical="bottom"/>
    </xf>
    <xf numFmtId="2" fontId="51" fillId="8" borderId="17" applyNumberFormat="1" applyFont="1" applyFill="1" applyBorder="1" applyAlignment="1" applyProtection="0">
      <alignment vertical="bottom"/>
    </xf>
    <xf numFmtId="0" fontId="51" fillId="8" borderId="93" applyNumberFormat="0" applyFont="1" applyFill="1" applyBorder="1" applyAlignment="1" applyProtection="0">
      <alignment vertical="bottom"/>
    </xf>
    <xf numFmtId="1" fontId="92" borderId="94" applyNumberFormat="1" applyFont="1" applyFill="0" applyBorder="1" applyAlignment="1" applyProtection="0">
      <alignment horizontal="center" vertical="bottom"/>
    </xf>
    <xf numFmtId="49" fontId="92" fillId="3" borderId="94" applyNumberFormat="1" applyFont="1" applyFill="1" applyBorder="1" applyAlignment="1" applyProtection="0">
      <alignment horizontal="left" vertical="bottom"/>
    </xf>
    <xf numFmtId="0" fontId="92" borderId="94" applyNumberFormat="1" applyFont="1" applyFill="0" applyBorder="1" applyAlignment="1" applyProtection="0">
      <alignment vertical="bottom"/>
    </xf>
    <xf numFmtId="9" fontId="92" borderId="94" applyNumberFormat="1" applyFont="1" applyFill="0" applyBorder="1" applyAlignment="1" applyProtection="0">
      <alignment vertical="bottom"/>
    </xf>
    <xf numFmtId="14" fontId="92" borderId="94" applyNumberFormat="1" applyFont="1" applyFill="0" applyBorder="1" applyAlignment="1" applyProtection="0">
      <alignment vertical="bottom"/>
    </xf>
    <xf numFmtId="14" fontId="92" fillId="3" borderId="94" applyNumberFormat="1" applyFont="1" applyFill="1" applyBorder="1" applyAlignment="1" applyProtection="0">
      <alignment vertical="bottom"/>
    </xf>
    <xf numFmtId="0" fontId="92" borderId="94" applyNumberFormat="0" applyFont="1" applyFill="0" applyBorder="1" applyAlignment="1" applyProtection="0">
      <alignment vertical="bottom"/>
    </xf>
    <xf numFmtId="2" fontId="92" borderId="94" applyNumberFormat="1" applyFont="1" applyFill="0" applyBorder="1" applyAlignment="1" applyProtection="0">
      <alignment vertical="bottom"/>
    </xf>
    <xf numFmtId="1" fontId="52" fillId="2" borderId="39" applyNumberFormat="1" applyFont="1" applyFill="1" applyBorder="1" applyAlignment="1" applyProtection="0">
      <alignment horizontal="center" vertical="bottom"/>
    </xf>
    <xf numFmtId="49" fontId="52" fillId="2" borderId="39" applyNumberFormat="1" applyFont="1" applyFill="1" applyBorder="1" applyAlignment="1" applyProtection="0">
      <alignment horizontal="left" vertical="bottom"/>
    </xf>
    <xf numFmtId="0" fontId="52" fillId="2" borderId="39" applyNumberFormat="1" applyFont="1" applyFill="1" applyBorder="1" applyAlignment="1" applyProtection="0">
      <alignment vertical="bottom"/>
    </xf>
    <xf numFmtId="9" fontId="52" fillId="2" borderId="39" applyNumberFormat="1" applyFont="1" applyFill="1" applyBorder="1" applyAlignment="1" applyProtection="0">
      <alignment vertical="bottom"/>
    </xf>
    <xf numFmtId="14" fontId="52" fillId="2" borderId="39" applyNumberFormat="1" applyFont="1" applyFill="1" applyBorder="1" applyAlignment="1" applyProtection="0">
      <alignment vertical="bottom"/>
    </xf>
    <xf numFmtId="0" fontId="52" fillId="2" borderId="39" applyNumberFormat="0" applyFont="1" applyFill="1" applyBorder="1" applyAlignment="1" applyProtection="0">
      <alignment vertical="bottom"/>
    </xf>
    <xf numFmtId="2" fontId="52" fillId="2" borderId="39" applyNumberFormat="1" applyFont="1" applyFill="1" applyBorder="1" applyAlignment="1" applyProtection="0">
      <alignment vertical="bottom"/>
    </xf>
    <xf numFmtId="1" fontId="92" borderId="39" applyNumberFormat="1" applyFont="1" applyFill="0" applyBorder="1" applyAlignment="1" applyProtection="0">
      <alignment horizontal="center" vertical="bottom"/>
    </xf>
    <xf numFmtId="49" fontId="92" fillId="3" borderId="39" applyNumberFormat="1" applyFont="1" applyFill="1" applyBorder="1" applyAlignment="1" applyProtection="0">
      <alignment horizontal="left" vertical="bottom"/>
    </xf>
    <xf numFmtId="0" fontId="92" borderId="39" applyNumberFormat="1" applyFont="1" applyFill="0" applyBorder="1" applyAlignment="1" applyProtection="0">
      <alignment vertical="bottom"/>
    </xf>
    <xf numFmtId="9" fontId="92" borderId="39" applyNumberFormat="1" applyFont="1" applyFill="0" applyBorder="1" applyAlignment="1" applyProtection="0">
      <alignment vertical="bottom"/>
    </xf>
    <xf numFmtId="14" fontId="92" borderId="39" applyNumberFormat="1" applyFont="1" applyFill="0" applyBorder="1" applyAlignment="1" applyProtection="0">
      <alignment vertical="bottom"/>
    </xf>
    <xf numFmtId="0" fontId="92" fillId="3" borderId="39" applyNumberFormat="0" applyFont="1" applyFill="1" applyBorder="1" applyAlignment="1" applyProtection="0">
      <alignment vertical="bottom"/>
    </xf>
    <xf numFmtId="0" fontId="92" borderId="39" applyNumberFormat="0" applyFont="1" applyFill="0" applyBorder="1" applyAlignment="1" applyProtection="0">
      <alignment vertical="bottom"/>
    </xf>
    <xf numFmtId="2" fontId="92" borderId="39" applyNumberFormat="1" applyFont="1" applyFill="0" applyBorder="1" applyAlignment="1" applyProtection="0">
      <alignment vertical="bottom"/>
    </xf>
    <xf numFmtId="1" fontId="92" borderId="87" applyNumberFormat="1" applyFont="1" applyFill="0" applyBorder="1" applyAlignment="1" applyProtection="0">
      <alignment horizontal="center" vertical="bottom"/>
    </xf>
    <xf numFmtId="49" fontId="92" fillId="3" borderId="87" applyNumberFormat="1" applyFont="1" applyFill="1" applyBorder="1" applyAlignment="1" applyProtection="0">
      <alignment horizontal="left" vertical="bottom"/>
    </xf>
    <xf numFmtId="0" fontId="92" borderId="87" applyNumberFormat="1" applyFont="1" applyFill="0" applyBorder="1" applyAlignment="1" applyProtection="0">
      <alignment vertical="bottom"/>
    </xf>
    <xf numFmtId="9" fontId="92" borderId="87" applyNumberFormat="1" applyFont="1" applyFill="0" applyBorder="1" applyAlignment="1" applyProtection="0">
      <alignment vertical="bottom"/>
    </xf>
    <xf numFmtId="14" fontId="92" borderId="87" applyNumberFormat="1" applyFont="1" applyFill="0" applyBorder="1" applyAlignment="1" applyProtection="0">
      <alignment vertical="bottom"/>
    </xf>
    <xf numFmtId="0" fontId="92" fillId="3" borderId="87" applyNumberFormat="0" applyFont="1" applyFill="1" applyBorder="1" applyAlignment="1" applyProtection="0">
      <alignment vertical="bottom"/>
    </xf>
    <xf numFmtId="0" fontId="92" borderId="87" applyNumberFormat="0" applyFont="1" applyFill="0" applyBorder="1" applyAlignment="1" applyProtection="0">
      <alignment vertical="bottom"/>
    </xf>
    <xf numFmtId="2" fontId="92" borderId="87" applyNumberFormat="1" applyFont="1" applyFill="0" applyBorder="1" applyAlignment="1" applyProtection="0">
      <alignment vertical="bottom"/>
    </xf>
    <xf numFmtId="1" fontId="92" borderId="85" applyNumberFormat="1" applyFont="1" applyFill="0" applyBorder="1" applyAlignment="1" applyProtection="0">
      <alignment horizontal="center" vertical="bottom"/>
    </xf>
    <xf numFmtId="49" fontId="92" fillId="3" borderId="85" applyNumberFormat="1" applyFont="1" applyFill="1" applyBorder="1" applyAlignment="1" applyProtection="0">
      <alignment horizontal="left" vertical="bottom"/>
    </xf>
    <xf numFmtId="0" fontId="92" borderId="85" applyNumberFormat="1" applyFont="1" applyFill="0" applyBorder="1" applyAlignment="1" applyProtection="0">
      <alignment vertical="bottom"/>
    </xf>
    <xf numFmtId="9" fontId="92" borderId="85" applyNumberFormat="1" applyFont="1" applyFill="0" applyBorder="1" applyAlignment="1" applyProtection="0">
      <alignment vertical="bottom"/>
    </xf>
    <xf numFmtId="14" fontId="92" borderId="85" applyNumberFormat="1" applyFont="1" applyFill="0" applyBorder="1" applyAlignment="1" applyProtection="0">
      <alignment vertical="bottom"/>
    </xf>
    <xf numFmtId="14" fontId="92" fillId="3" borderId="85" applyNumberFormat="1" applyFont="1" applyFill="1" applyBorder="1" applyAlignment="1" applyProtection="0">
      <alignment vertical="bottom"/>
    </xf>
    <xf numFmtId="0" fontId="92" borderId="85" applyNumberFormat="0" applyFont="1" applyFill="0" applyBorder="1" applyAlignment="1" applyProtection="0">
      <alignment vertical="bottom"/>
    </xf>
    <xf numFmtId="2" fontId="92" borderId="85" applyNumberFormat="1" applyFont="1" applyFill="0" applyBorder="1" applyAlignment="1" applyProtection="0">
      <alignment vertical="bottom"/>
    </xf>
    <xf numFmtId="1" fontId="92" borderId="86" applyNumberFormat="1" applyFont="1" applyFill="0" applyBorder="1" applyAlignment="1" applyProtection="0">
      <alignment horizontal="center" vertical="bottom"/>
    </xf>
    <xf numFmtId="49" fontId="92" fillId="3" borderId="86" applyNumberFormat="1" applyFont="1" applyFill="1" applyBorder="1" applyAlignment="1" applyProtection="0">
      <alignment horizontal="left" vertical="bottom"/>
    </xf>
    <xf numFmtId="0" fontId="92" borderId="86" applyNumberFormat="1" applyFont="1" applyFill="0" applyBorder="1" applyAlignment="1" applyProtection="0">
      <alignment vertical="bottom"/>
    </xf>
    <xf numFmtId="9" fontId="92" borderId="86" applyNumberFormat="1" applyFont="1" applyFill="0" applyBorder="1" applyAlignment="1" applyProtection="0">
      <alignment vertical="bottom"/>
    </xf>
    <xf numFmtId="14" fontId="92" borderId="86" applyNumberFormat="1" applyFont="1" applyFill="0" applyBorder="1" applyAlignment="1" applyProtection="0">
      <alignment vertical="bottom"/>
    </xf>
    <xf numFmtId="0" fontId="92" fillId="3" borderId="86" applyNumberFormat="0" applyFont="1" applyFill="1" applyBorder="1" applyAlignment="1" applyProtection="0">
      <alignment vertical="bottom"/>
    </xf>
    <xf numFmtId="0" fontId="92" borderId="86" applyNumberFormat="0" applyFont="1" applyFill="0" applyBorder="1" applyAlignment="1" applyProtection="0">
      <alignment vertical="bottom"/>
    </xf>
    <xf numFmtId="2" fontId="92" borderId="86" applyNumberFormat="1" applyFont="1" applyFill="0" applyBorder="1" applyAlignment="1" applyProtection="0">
      <alignment vertical="bottom"/>
    </xf>
    <xf numFmtId="49" fontId="92" fillId="3" borderId="86" applyNumberFormat="1" applyFont="1" applyFill="1" applyBorder="1" applyAlignment="1" applyProtection="0">
      <alignment vertical="bottom"/>
    </xf>
    <xf numFmtId="14" fontId="92" fillId="3" borderId="86" applyNumberFormat="1" applyFont="1" applyFill="1" applyBorder="1" applyAlignment="1" applyProtection="0">
      <alignment vertical="bottom"/>
    </xf>
    <xf numFmtId="49" fontId="52" fillId="2" borderId="39" applyNumberFormat="1" applyFont="1" applyFill="1" applyBorder="1" applyAlignment="1" applyProtection="0">
      <alignment vertical="bottom"/>
    </xf>
    <xf numFmtId="49" fontId="51" fillId="8" borderId="39" applyNumberFormat="1" applyFont="1" applyFill="1" applyBorder="1" applyAlignment="1" applyProtection="0">
      <alignment vertical="bottom"/>
    </xf>
    <xf numFmtId="1" fontId="92" borderId="95" applyNumberFormat="1" applyFont="1" applyFill="0" applyBorder="1" applyAlignment="1" applyProtection="0">
      <alignment horizontal="center" vertical="bottom"/>
    </xf>
    <xf numFmtId="49" fontId="92" fillId="3" borderId="95" applyNumberFormat="1" applyFont="1" applyFill="1" applyBorder="1" applyAlignment="1" applyProtection="0">
      <alignment vertical="bottom"/>
    </xf>
    <xf numFmtId="0" fontId="92" borderId="95" applyNumberFormat="1" applyFont="1" applyFill="0" applyBorder="1" applyAlignment="1" applyProtection="0">
      <alignment vertical="bottom"/>
    </xf>
    <xf numFmtId="9" fontId="92" borderId="95" applyNumberFormat="1" applyFont="1" applyFill="0" applyBorder="1" applyAlignment="1" applyProtection="0">
      <alignment vertical="bottom"/>
    </xf>
    <xf numFmtId="14" fontId="92" borderId="95" applyNumberFormat="1" applyFont="1" applyFill="0" applyBorder="1" applyAlignment="1" applyProtection="0">
      <alignment vertical="bottom"/>
    </xf>
    <xf numFmtId="0" fontId="92" fillId="3" borderId="95" applyNumberFormat="0" applyFont="1" applyFill="1" applyBorder="1" applyAlignment="1" applyProtection="0">
      <alignment vertical="bottom"/>
    </xf>
    <xf numFmtId="0" fontId="92" borderId="95" applyNumberFormat="0" applyFont="1" applyFill="0" applyBorder="1" applyAlignment="1" applyProtection="0">
      <alignment vertical="bottom"/>
    </xf>
    <xf numFmtId="2" fontId="92" borderId="95" applyNumberFormat="1" applyFont="1" applyFill="0" applyBorder="1" applyAlignment="1" applyProtection="0">
      <alignment vertical="bottom"/>
    </xf>
    <xf numFmtId="1" fontId="92" borderId="96" applyNumberFormat="1" applyFont="1" applyFill="0" applyBorder="1" applyAlignment="1" applyProtection="0">
      <alignment horizontal="center" vertical="bottom"/>
    </xf>
    <xf numFmtId="49" fontId="92" fillId="3" borderId="96" applyNumberFormat="1" applyFont="1" applyFill="1" applyBorder="1" applyAlignment="1" applyProtection="0">
      <alignment vertical="bottom"/>
    </xf>
    <xf numFmtId="0" fontId="92" borderId="96" applyNumberFormat="1" applyFont="1" applyFill="0" applyBorder="1" applyAlignment="1" applyProtection="0">
      <alignment vertical="bottom"/>
    </xf>
    <xf numFmtId="9" fontId="92" borderId="96" applyNumberFormat="1" applyFont="1" applyFill="0" applyBorder="1" applyAlignment="1" applyProtection="0">
      <alignment vertical="bottom"/>
    </xf>
    <xf numFmtId="14" fontId="92" borderId="96" applyNumberFormat="1" applyFont="1" applyFill="0" applyBorder="1" applyAlignment="1" applyProtection="0">
      <alignment vertical="bottom"/>
    </xf>
    <xf numFmtId="0" fontId="92" fillId="3" borderId="96" applyNumberFormat="0" applyFont="1" applyFill="1" applyBorder="1" applyAlignment="1" applyProtection="0">
      <alignment vertical="bottom"/>
    </xf>
    <xf numFmtId="0" fontId="92" borderId="96" applyNumberFormat="0" applyFont="1" applyFill="0" applyBorder="1" applyAlignment="1" applyProtection="0">
      <alignment vertical="bottom"/>
    </xf>
    <xf numFmtId="2" fontId="92" borderId="96" applyNumberFormat="1" applyFont="1" applyFill="0" applyBorder="1" applyAlignment="1" applyProtection="0">
      <alignment vertical="bottom"/>
    </xf>
    <xf numFmtId="49" fontId="51" fillId="8" borderId="10" applyNumberFormat="1" applyFont="1" applyFill="1" applyBorder="1" applyAlignment="1" applyProtection="0">
      <alignment vertical="bottom"/>
    </xf>
    <xf numFmtId="14" fontId="92" fillId="8" borderId="10" applyNumberFormat="1" applyFont="1" applyFill="1" applyBorder="1" applyAlignment="1" applyProtection="0">
      <alignment vertical="bottom"/>
    </xf>
    <xf numFmtId="1" fontId="64" borderId="87" applyNumberFormat="1" applyFont="1" applyFill="0" applyBorder="1" applyAlignment="1" applyProtection="0">
      <alignment horizontal="center" vertical="bottom"/>
    </xf>
    <xf numFmtId="0" fontId="64" fillId="3" borderId="87" applyNumberFormat="1" applyFont="1" applyFill="1" applyBorder="1" applyAlignment="1" applyProtection="0">
      <alignment horizontal="center" vertical="bottom"/>
    </xf>
    <xf numFmtId="0" fontId="64" borderId="87" applyNumberFormat="1" applyFont="1" applyFill="0" applyBorder="1" applyAlignment="1" applyProtection="0">
      <alignment horizontal="center" vertical="bottom"/>
    </xf>
    <xf numFmtId="0" fontId="51" borderId="87" applyNumberFormat="0" applyFont="1" applyFill="0" applyBorder="1" applyAlignment="1" applyProtection="0">
      <alignment vertical="bottom"/>
    </xf>
    <xf numFmtId="2" fontId="51" borderId="87" applyNumberFormat="1" applyFont="1" applyFill="0" applyBorder="1" applyAlignment="1" applyProtection="0">
      <alignment vertical="bottom"/>
    </xf>
    <xf numFmtId="1" fontId="51" borderId="85" applyNumberFormat="1" applyFont="1" applyFill="0" applyBorder="1" applyAlignment="1" applyProtection="0">
      <alignment horizontal="center" vertical="bottom"/>
    </xf>
    <xf numFmtId="0" fontId="51" fillId="3" borderId="85" applyNumberFormat="0" applyFont="1" applyFill="1" applyBorder="1" applyAlignment="1" applyProtection="0">
      <alignment vertical="bottom"/>
    </xf>
    <xf numFmtId="0" fontId="51" borderId="85" applyNumberFormat="0" applyFont="1" applyFill="0" applyBorder="1" applyAlignment="1" applyProtection="0">
      <alignment vertical="bottom"/>
    </xf>
    <xf numFmtId="2" fontId="51" borderId="85" applyNumberFormat="1" applyFont="1" applyFill="0" applyBorder="1" applyAlignment="1" applyProtection="0">
      <alignment vertical="bottom"/>
    </xf>
    <xf numFmtId="0" fontId="0" borderId="85" applyNumberFormat="0" applyFont="1" applyFill="0" applyBorder="1" applyAlignment="1" applyProtection="0">
      <alignment vertical="bottom"/>
    </xf>
    <xf numFmtId="0" fontId="0" applyNumberFormat="1" applyFont="1" applyFill="0" applyBorder="0" applyAlignment="1" applyProtection="0">
      <alignment vertical="bottom"/>
    </xf>
    <xf numFmtId="0" fontId="93" fillId="6" borderId="4" applyNumberFormat="0" applyFont="1" applyFill="1" applyBorder="1" applyAlignment="1" applyProtection="0">
      <alignment vertical="bottom"/>
    </xf>
    <xf numFmtId="49" fontId="94" fillId="3" borderId="5" applyNumberFormat="1" applyFont="1" applyFill="1" applyBorder="1" applyAlignment="1" applyProtection="0">
      <alignment vertical="center"/>
    </xf>
    <xf numFmtId="0" fontId="19" fillId="3" borderId="5" applyNumberFormat="0" applyFont="1" applyFill="1" applyBorder="1" applyAlignment="1" applyProtection="0">
      <alignment vertical="center"/>
    </xf>
    <xf numFmtId="0" fontId="3" fillId="3" borderId="5" applyNumberFormat="0" applyFont="1" applyFill="1" applyBorder="1" applyAlignment="1" applyProtection="0">
      <alignment vertical="bottom"/>
    </xf>
    <xf numFmtId="14" fontId="3" fillId="3" borderId="5" applyNumberFormat="1" applyFont="1" applyFill="1" applyBorder="1" applyAlignment="1" applyProtection="0">
      <alignment vertical="bottom"/>
    </xf>
    <xf numFmtId="14" fontId="0" fillId="3" borderId="5" applyNumberFormat="1" applyFont="1" applyFill="1" applyBorder="1" applyAlignment="1" applyProtection="0">
      <alignment vertical="bottom"/>
    </xf>
    <xf numFmtId="0" fontId="93" fillId="6" borderId="6" applyNumberFormat="0" applyFont="1" applyFill="1" applyBorder="1" applyAlignment="1" applyProtection="0">
      <alignment vertical="bottom"/>
    </xf>
    <xf numFmtId="0" fontId="93" fillId="6" borderId="7" applyNumberFormat="0" applyFont="1" applyFill="1" applyBorder="1" applyAlignment="1" applyProtection="0">
      <alignment vertical="bottom"/>
    </xf>
    <xf numFmtId="0" fontId="19" fillId="3" borderId="25" applyNumberFormat="0" applyFont="1" applyFill="1" applyBorder="1" applyAlignment="1" applyProtection="0">
      <alignment vertical="center"/>
    </xf>
    <xf numFmtId="0" fontId="3" fillId="3" borderId="25" applyNumberFormat="0" applyFont="1" applyFill="1" applyBorder="1" applyAlignment="1" applyProtection="0">
      <alignment vertical="bottom"/>
    </xf>
    <xf numFmtId="49" fontId="3" fillId="3" borderId="8" applyNumberFormat="1" applyFont="1" applyFill="1" applyBorder="1" applyAlignment="1" applyProtection="0">
      <alignment horizontal="right" vertical="bottom"/>
    </xf>
    <xf numFmtId="0" fontId="19" fillId="3" borderId="10" applyNumberFormat="1" applyFont="1" applyFill="1" applyBorder="1" applyAlignment="1" applyProtection="0">
      <alignment vertical="bottom"/>
    </xf>
    <xf numFmtId="0" fontId="0" fillId="3" borderId="10" applyNumberFormat="0" applyFont="1" applyFill="1" applyBorder="1" applyAlignment="1" applyProtection="0">
      <alignment vertical="bottom"/>
    </xf>
    <xf numFmtId="0" fontId="93" fillId="6" borderId="9" applyNumberFormat="0" applyFont="1" applyFill="1" applyBorder="1" applyAlignment="1" applyProtection="0">
      <alignment vertical="bottom"/>
    </xf>
    <xf numFmtId="0" fontId="93" fillId="6" borderId="56" applyNumberFormat="0" applyFont="1" applyFill="1" applyBorder="1" applyAlignment="1" applyProtection="0">
      <alignment vertical="bottom"/>
    </xf>
    <xf numFmtId="49" fontId="61" fillId="5" borderId="35" applyNumberFormat="1" applyFont="1" applyFill="1" applyBorder="1" applyAlignment="1" applyProtection="0">
      <alignment vertical="center"/>
    </xf>
    <xf numFmtId="0" fontId="54" fillId="5" borderId="55" applyNumberFormat="0" applyFont="1" applyFill="1" applyBorder="1" applyAlignment="1" applyProtection="0">
      <alignment vertical="bottom"/>
    </xf>
    <xf numFmtId="0" fontId="54" fillId="5" borderId="36" applyNumberFormat="0" applyFont="1" applyFill="1" applyBorder="1" applyAlignment="1" applyProtection="0">
      <alignment vertical="bottom"/>
    </xf>
    <xf numFmtId="49" fontId="3" fillId="3" borderId="30" applyNumberFormat="1" applyFont="1" applyFill="1" applyBorder="1" applyAlignment="1" applyProtection="0">
      <alignment horizontal="right" vertical="bottom"/>
    </xf>
    <xf numFmtId="0" fontId="19" fillId="3" borderId="13" applyNumberFormat="1" applyFont="1" applyFill="1" applyBorder="1" applyAlignment="1" applyProtection="0">
      <alignment vertical="bottom"/>
    </xf>
    <xf numFmtId="0" fontId="0" fillId="3" borderId="13" applyNumberFormat="0" applyFont="1" applyFill="1" applyBorder="1" applyAlignment="1" applyProtection="0">
      <alignment vertical="bottom"/>
    </xf>
    <xf numFmtId="0" fontId="54" fillId="5" borderId="37" applyNumberFormat="0" applyFont="1" applyFill="1" applyBorder="1" applyAlignment="1" applyProtection="0">
      <alignment vertical="bottom"/>
    </xf>
    <xf numFmtId="0" fontId="54" fillId="5" borderId="25" applyNumberFormat="0" applyFont="1" applyFill="1" applyBorder="1" applyAlignment="1" applyProtection="0">
      <alignment vertical="bottom"/>
    </xf>
    <xf numFmtId="0" fontId="54" fillId="5" borderId="38" applyNumberFormat="0" applyFont="1" applyFill="1" applyBorder="1" applyAlignment="1" applyProtection="0">
      <alignment vertical="bottom"/>
    </xf>
    <xf numFmtId="49" fontId="95" fillId="3" borderId="55" applyNumberFormat="1" applyFont="1" applyFill="1" applyBorder="1" applyAlignment="1" applyProtection="0">
      <alignment horizontal="center" vertical="bottom"/>
    </xf>
    <xf numFmtId="0" fontId="95" fillId="3" borderId="55" applyNumberFormat="0" applyFont="1" applyFill="1" applyBorder="1" applyAlignment="1" applyProtection="0">
      <alignment horizontal="center" vertical="bottom"/>
    </xf>
    <xf numFmtId="49" fontId="95" fillId="3" borderId="55" applyNumberFormat="1" applyFont="1" applyFill="1" applyBorder="1" applyAlignment="1" applyProtection="0">
      <alignment horizontal="left" vertical="bottom"/>
    </xf>
    <xf numFmtId="0" fontId="3" fillId="3" borderId="55" applyNumberFormat="0" applyFont="1" applyFill="1" applyBorder="1" applyAlignment="1" applyProtection="0">
      <alignment vertical="bottom"/>
    </xf>
    <xf numFmtId="49" fontId="3" fillId="3" borderId="8" applyNumberFormat="1" applyFont="1" applyFill="1" applyBorder="1" applyAlignment="1" applyProtection="0">
      <alignment vertical="bottom"/>
    </xf>
    <xf numFmtId="14" fontId="19" fillId="3" borderId="8" applyNumberFormat="1" applyFont="1" applyFill="1" applyBorder="1" applyAlignment="1" applyProtection="0">
      <alignment vertical="bottom"/>
    </xf>
    <xf numFmtId="49" fontId="3" fillId="3" borderId="10" applyNumberFormat="1" applyFont="1" applyFill="1" applyBorder="1" applyAlignment="1" applyProtection="0">
      <alignment vertical="bottom"/>
    </xf>
    <xf numFmtId="49" fontId="19" fillId="3" borderId="10" applyNumberFormat="1" applyFont="1" applyFill="1" applyBorder="1" applyAlignment="1" applyProtection="0">
      <alignment vertical="bottom"/>
    </xf>
    <xf numFmtId="49" fontId="3" fillId="3" borderId="97" applyNumberFormat="1" applyFont="1" applyFill="1" applyBorder="1" applyAlignment="1" applyProtection="0">
      <alignment vertical="bottom"/>
    </xf>
    <xf numFmtId="0" fontId="0" fillId="3" borderId="97" applyNumberFormat="0" applyFont="1" applyFill="1" applyBorder="1" applyAlignment="1" applyProtection="0">
      <alignment vertical="bottom"/>
    </xf>
    <xf numFmtId="14" fontId="19" fillId="3" borderId="97" applyNumberFormat="1" applyFont="1" applyFill="1" applyBorder="1" applyAlignment="1" applyProtection="0">
      <alignment vertical="bottom"/>
    </xf>
    <xf numFmtId="0" fontId="24" fillId="3" borderId="25" applyNumberFormat="0" applyFont="1" applyFill="1" applyBorder="1" applyAlignment="1" applyProtection="0">
      <alignment vertical="bottom"/>
    </xf>
    <xf numFmtId="49" fontId="3" fillId="3" borderId="25" applyNumberFormat="1" applyFont="1" applyFill="1" applyBorder="1" applyAlignment="1" applyProtection="0">
      <alignment horizontal="right" vertical="bottom"/>
    </xf>
    <xf numFmtId="0" fontId="19" fillId="3" borderId="97" applyNumberFormat="1" applyFont="1" applyFill="1" applyBorder="1" applyAlignment="1" applyProtection="0">
      <alignment vertical="bottom"/>
    </xf>
    <xf numFmtId="49" fontId="79" fillId="4" borderId="35" applyNumberFormat="1" applyFont="1" applyFill="1" applyBorder="1" applyAlignment="1" applyProtection="0">
      <alignment horizontal="center" vertical="center"/>
    </xf>
    <xf numFmtId="0" fontId="75" fillId="4" borderId="55" applyNumberFormat="0" applyFont="1" applyFill="1" applyBorder="1" applyAlignment="1" applyProtection="0">
      <alignment horizontal="center" vertical="bottom"/>
    </xf>
    <xf numFmtId="0" fontId="79" fillId="4" borderId="55" applyNumberFormat="0" applyFont="1" applyFill="1" applyBorder="1" applyAlignment="1" applyProtection="0">
      <alignment horizontal="center" vertical="center"/>
    </xf>
    <xf numFmtId="59" fontId="75" fillId="4" borderId="55" applyNumberFormat="1" applyFont="1" applyFill="1" applyBorder="1" applyAlignment="1" applyProtection="0">
      <alignment horizontal="center" vertical="bottom"/>
    </xf>
    <xf numFmtId="18" fontId="7" fillId="4" borderId="55" applyNumberFormat="1" applyFont="1" applyFill="1" applyBorder="1" applyAlignment="1" applyProtection="0">
      <alignment horizontal="center" vertical="center"/>
    </xf>
    <xf numFmtId="0" fontId="7" fillId="4" borderId="55" applyNumberFormat="0" applyFont="1" applyFill="1" applyBorder="1" applyAlignment="1" applyProtection="0">
      <alignment horizontal="center" vertical="center"/>
    </xf>
    <xf numFmtId="14" fontId="7" fillId="4" borderId="36" applyNumberFormat="1" applyFont="1" applyFill="1" applyBorder="1" applyAlignment="1" applyProtection="0">
      <alignment horizontal="center" vertical="center"/>
    </xf>
    <xf numFmtId="0" fontId="93" fillId="6" borderId="98" applyNumberFormat="0" applyFont="1" applyFill="1" applyBorder="1" applyAlignment="1" applyProtection="0">
      <alignment vertical="bottom"/>
    </xf>
    <xf numFmtId="49" fontId="79" fillId="4" borderId="37" applyNumberFormat="1" applyFont="1" applyFill="1" applyBorder="1" applyAlignment="1" applyProtection="0">
      <alignment horizontal="center" vertical="bottom"/>
    </xf>
    <xf numFmtId="59" fontId="79" fillId="4" borderId="25" applyNumberFormat="1" applyFont="1" applyFill="1" applyBorder="1" applyAlignment="1" applyProtection="0">
      <alignment horizontal="center" vertical="bottom"/>
    </xf>
    <xf numFmtId="0" fontId="79" fillId="4" borderId="25" applyNumberFormat="0" applyFont="1" applyFill="1" applyBorder="1" applyAlignment="1" applyProtection="0">
      <alignment horizontal="center" vertical="center"/>
    </xf>
    <xf numFmtId="0" fontId="79" fillId="4" borderId="25" applyNumberFormat="0" applyFont="1" applyFill="1" applyBorder="1" applyAlignment="1" applyProtection="0">
      <alignment horizontal="center" vertical="bottom"/>
    </xf>
    <xf numFmtId="49" fontId="79" fillId="4" borderId="25" applyNumberFormat="1" applyFont="1" applyFill="1" applyBorder="1" applyAlignment="1" applyProtection="0">
      <alignment horizontal="center" vertical="bottom"/>
    </xf>
    <xf numFmtId="59" fontId="79" fillId="4" borderId="38" applyNumberFormat="1" applyFont="1" applyFill="1" applyBorder="1" applyAlignment="1" applyProtection="0">
      <alignment horizontal="center" vertical="bottom"/>
    </xf>
    <xf numFmtId="49" fontId="96" fillId="3" borderId="62" applyNumberFormat="1" applyFont="1" applyFill="1" applyBorder="1" applyAlignment="1" applyProtection="0">
      <alignment horizontal="center" vertical="bottom"/>
    </xf>
    <xf numFmtId="49" fontId="96" fillId="3" borderId="47" applyNumberFormat="1" applyFont="1" applyFill="1" applyBorder="1" applyAlignment="1" applyProtection="0">
      <alignment horizontal="center" vertical="bottom"/>
    </xf>
    <xf numFmtId="49" fontId="96" fillId="3" borderId="63" applyNumberFormat="1" applyFont="1" applyFill="1" applyBorder="1" applyAlignment="1" applyProtection="0">
      <alignment horizontal="center" vertical="bottom"/>
    </xf>
    <xf numFmtId="14" fontId="96" fillId="9" borderId="64" applyNumberFormat="1" applyFont="1" applyFill="1" applyBorder="1" applyAlignment="1" applyProtection="0">
      <alignment horizontal="center" vertical="bottom"/>
    </xf>
    <xf numFmtId="14" fontId="96" fillId="9" borderId="39" applyNumberFormat="1" applyFont="1" applyFill="1" applyBorder="1" applyAlignment="1" applyProtection="0">
      <alignment horizontal="center" vertical="bottom"/>
    </xf>
    <xf numFmtId="0" fontId="93" fillId="6" borderId="99" applyNumberFormat="0" applyFont="1" applyFill="1" applyBorder="1" applyAlignment="1" applyProtection="0">
      <alignment vertical="bottom"/>
    </xf>
    <xf numFmtId="49" fontId="97" fillId="3" borderId="70" applyNumberFormat="1" applyFont="1" applyFill="1" applyBorder="1" applyAlignment="1" applyProtection="0">
      <alignment horizontal="left" vertical="top" wrapText="1"/>
    </xf>
    <xf numFmtId="49" fontId="97" fillId="3" borderId="64" applyNumberFormat="1" applyFont="1" applyFill="1" applyBorder="1" applyAlignment="1" applyProtection="0">
      <alignment horizontal="left" vertical="top" wrapText="1"/>
    </xf>
    <xf numFmtId="0" fontId="98" fillId="6" borderId="99" applyNumberFormat="0" applyFont="1" applyFill="1" applyBorder="1" applyAlignment="1" applyProtection="0">
      <alignment vertical="bottom"/>
    </xf>
    <xf numFmtId="14" fontId="96" fillId="9" borderId="51" applyNumberFormat="1" applyFont="1" applyFill="1" applyBorder="1" applyAlignment="1" applyProtection="0">
      <alignment horizontal="center" vertical="bottom"/>
    </xf>
    <xf numFmtId="49" fontId="96" fillId="9" borderId="64" applyNumberFormat="1" applyFont="1" applyFill="1" applyBorder="1" applyAlignment="1" applyProtection="0">
      <alignment horizontal="center" vertical="bottom"/>
    </xf>
    <xf numFmtId="49" fontId="96" fillId="9" borderId="39" applyNumberFormat="1" applyFont="1" applyFill="1" applyBorder="1" applyAlignment="1" applyProtection="0">
      <alignment horizontal="center" vertical="bottom"/>
    </xf>
    <xf numFmtId="49" fontId="96" fillId="9" borderId="51" applyNumberFormat="1" applyFont="1" applyFill="1" applyBorder="1" applyAlignment="1" applyProtection="0">
      <alignment horizontal="center" vertical="bottom"/>
    </xf>
    <xf numFmtId="49" fontId="97" fillId="3" borderId="72" applyNumberFormat="1" applyFont="1" applyFill="1" applyBorder="1" applyAlignment="1" applyProtection="0">
      <alignment horizontal="left" vertical="top" wrapText="1"/>
    </xf>
    <xf numFmtId="49" fontId="97" fillId="3" borderId="66" applyNumberFormat="1" applyFont="1" applyFill="1" applyBorder="1" applyAlignment="1" applyProtection="0">
      <alignment horizontal="left" vertical="top" wrapText="1"/>
    </xf>
    <xf numFmtId="0" fontId="99" fillId="3" borderId="55" applyNumberFormat="1" applyFont="1" applyFill="1" applyBorder="1" applyAlignment="1" applyProtection="0">
      <alignment vertical="bottom"/>
    </xf>
    <xf numFmtId="0" fontId="100" fillId="3" borderId="55" applyNumberFormat="0" applyFont="1" applyFill="1" applyBorder="1" applyAlignment="1" applyProtection="0">
      <alignment vertical="bottom"/>
    </xf>
    <xf numFmtId="0" fontId="99" fillId="3" borderId="25" applyNumberFormat="0" applyFont="1" applyFill="1" applyBorder="1" applyAlignment="1" applyProtection="0">
      <alignment vertical="bottom"/>
    </xf>
    <xf numFmtId="0" fontId="93" fillId="10" borderId="26" applyNumberFormat="0" applyFont="1" applyFill="1" applyBorder="1" applyAlignment="1" applyProtection="0">
      <alignment vertical="bottom"/>
    </xf>
    <xf numFmtId="0" fontId="93" fillId="3" borderId="55" applyNumberFormat="0" applyFont="1" applyFill="1" applyBorder="1" applyAlignment="1" applyProtection="0">
      <alignment vertical="bottom"/>
    </xf>
    <xf numFmtId="0" fontId="93" fillId="3" borderId="55" applyNumberFormat="0" applyFont="1" applyFill="1" applyBorder="1" applyAlignment="1" applyProtection="0">
      <alignment horizontal="center" vertical="bottom"/>
    </xf>
    <xf numFmtId="0" fontId="93" fillId="6" borderId="8" applyNumberFormat="0" applyFont="1" applyFill="1" applyBorder="1" applyAlignment="1" applyProtection="0">
      <alignment vertical="bottom"/>
    </xf>
    <xf numFmtId="0" fontId="93" fillId="3" borderId="7" applyNumberFormat="0" applyFont="1" applyFill="1" applyBorder="1" applyAlignment="1" applyProtection="0">
      <alignment vertical="bottom"/>
    </xf>
    <xf numFmtId="0" fontId="93" fillId="3" borderId="8" applyNumberFormat="0" applyFont="1" applyFill="1" applyBorder="1" applyAlignment="1" applyProtection="0">
      <alignment vertical="bottom"/>
    </xf>
    <xf numFmtId="0" fontId="93" fillId="3" borderId="9" applyNumberFormat="0" applyFont="1" applyFill="1" applyBorder="1" applyAlignment="1" applyProtection="0">
      <alignment vertical="bottom"/>
    </xf>
    <xf numFmtId="0" fontId="93" fillId="5" borderId="7" applyNumberFormat="0" applyFont="1" applyFill="1" applyBorder="1" applyAlignment="1" applyProtection="0">
      <alignment vertical="bottom"/>
    </xf>
    <xf numFmtId="0" fontId="93" fillId="5" borderId="8" applyNumberFormat="0" applyFont="1" applyFill="1" applyBorder="1" applyAlignment="1" applyProtection="0">
      <alignment vertical="bottom"/>
    </xf>
    <xf numFmtId="0" fontId="93" fillId="5" borderId="9" applyNumberFormat="0" applyFont="1" applyFill="1" applyBorder="1" applyAlignment="1" applyProtection="0">
      <alignment vertical="bottom"/>
    </xf>
    <xf numFmtId="0" fontId="93" fillId="3" borderId="22" applyNumberFormat="0" applyFont="1" applyFill="1" applyBorder="1" applyAlignment="1" applyProtection="0">
      <alignment vertical="bottom"/>
    </xf>
    <xf numFmtId="0" fontId="93" fillId="3" borderId="23" applyNumberFormat="0" applyFont="1" applyFill="1" applyBorder="1" applyAlignment="1" applyProtection="0">
      <alignment vertical="bottom"/>
    </xf>
    <xf numFmtId="0" fontId="93" fillId="3" borderId="24" applyNumberFormat="0" applyFont="1" applyFill="1" applyBorder="1" applyAlignment="1" applyProtection="0">
      <alignment vertical="bottom"/>
    </xf>
    <xf numFmtId="0" fontId="0" applyNumberFormat="1" applyFont="1" applyFill="0" applyBorder="0" applyAlignment="1" applyProtection="0">
      <alignment vertical="bottom"/>
    </xf>
    <xf numFmtId="0" fontId="19" fillId="6" borderId="4" applyNumberFormat="0" applyFont="1" applyFill="1" applyBorder="1" applyAlignment="1" applyProtection="0">
      <alignment vertical="bottom"/>
    </xf>
    <xf numFmtId="0" fontId="36" fillId="3" borderId="5" applyNumberFormat="0" applyFont="1" applyFill="1" applyBorder="1" applyAlignment="1" applyProtection="0">
      <alignment vertical="bottom"/>
    </xf>
    <xf numFmtId="0" fontId="36" fillId="6" borderId="6" applyNumberFormat="0" applyFont="1" applyFill="1" applyBorder="1" applyAlignment="1" applyProtection="0">
      <alignment vertical="bottom"/>
    </xf>
    <xf numFmtId="0" fontId="19" fillId="6" borderId="7" applyNumberFormat="0" applyFont="1" applyFill="1" applyBorder="1" applyAlignment="1" applyProtection="0">
      <alignment vertical="bottom"/>
    </xf>
    <xf numFmtId="0" fontId="36" fillId="6" borderId="9" applyNumberFormat="0" applyFont="1" applyFill="1" applyBorder="1" applyAlignment="1" applyProtection="0">
      <alignment vertical="bottom"/>
    </xf>
    <xf numFmtId="49" fontId="94" fillId="3" borderId="8" applyNumberFormat="1" applyFont="1" applyFill="1" applyBorder="1" applyAlignment="1" applyProtection="0">
      <alignment vertical="center"/>
    </xf>
    <xf numFmtId="0" fontId="19" fillId="3" borderId="8" applyNumberFormat="0" applyFont="1" applyFill="1" applyBorder="1" applyAlignment="1" applyProtection="0">
      <alignment vertical="center"/>
    </xf>
    <xf numFmtId="68" fontId="19" fillId="3" borderId="10" applyNumberFormat="1" applyFont="1" applyFill="1" applyBorder="1" applyAlignment="1" applyProtection="0">
      <alignment horizontal="right" vertical="bottom"/>
    </xf>
    <xf numFmtId="68" fontId="19" fillId="3" borderId="13" applyNumberFormat="1" applyFont="1" applyFill="1" applyBorder="1" applyAlignment="1" applyProtection="0">
      <alignment horizontal="right" vertical="bottom"/>
    </xf>
    <xf numFmtId="0" fontId="27" fillId="3" borderId="25" applyNumberFormat="0" applyFont="1" applyFill="1" applyBorder="1" applyAlignment="1" applyProtection="0">
      <alignment vertical="bottom"/>
    </xf>
    <xf numFmtId="68" fontId="19" fillId="3" borderId="97" applyNumberFormat="1" applyFont="1" applyFill="1" applyBorder="1" applyAlignment="1" applyProtection="0">
      <alignment horizontal="right" vertical="bottom"/>
    </xf>
    <xf numFmtId="0" fontId="36" fillId="6" borderId="56" applyNumberFormat="0" applyFont="1" applyFill="1" applyBorder="1" applyAlignment="1" applyProtection="0">
      <alignment vertical="bottom"/>
    </xf>
    <xf numFmtId="49" fontId="50" fillId="5" borderId="28" applyNumberFormat="1" applyFont="1" applyFill="1" applyBorder="1" applyAlignment="1" applyProtection="0">
      <alignment horizontal="center" vertical="center"/>
    </xf>
    <xf numFmtId="0" fontId="54" fillId="5" borderId="26" applyNumberFormat="0" applyFont="1" applyFill="1" applyBorder="1" applyAlignment="1" applyProtection="0">
      <alignment horizontal="center" vertical="bottom"/>
    </xf>
    <xf numFmtId="0" fontId="101" fillId="5" borderId="29" applyNumberFormat="0" applyFont="1" applyFill="1" applyBorder="1" applyAlignment="1" applyProtection="0">
      <alignment horizontal="center" vertical="bottom"/>
    </xf>
    <xf numFmtId="0" fontId="19" fillId="6" borderId="98" applyNumberFormat="0" applyFont="1" applyFill="1" applyBorder="1" applyAlignment="1" applyProtection="0">
      <alignment horizontal="center" vertical="bottom"/>
    </xf>
    <xf numFmtId="0" fontId="102" fillId="4" borderId="35" applyNumberFormat="0" applyFont="1" applyFill="1" applyBorder="1" applyAlignment="1" applyProtection="0">
      <alignment vertical="bottom"/>
    </xf>
    <xf numFmtId="0" fontId="75" fillId="4" borderId="55" applyNumberFormat="0" applyFont="1" applyFill="1" applyBorder="1" applyAlignment="1" applyProtection="0">
      <alignment vertical="bottom"/>
    </xf>
    <xf numFmtId="14" fontId="40" fillId="4" borderId="55" applyNumberFormat="1" applyFont="1" applyFill="1" applyBorder="1" applyAlignment="1" applyProtection="0">
      <alignment horizontal="center" vertical="bottom"/>
    </xf>
    <xf numFmtId="0" fontId="44" fillId="4" borderId="55" applyNumberFormat="0" applyFont="1" applyFill="1" applyBorder="1" applyAlignment="1" applyProtection="0">
      <alignment vertical="bottom"/>
    </xf>
    <xf numFmtId="0" fontId="44" fillId="4" borderId="55" applyNumberFormat="0" applyFont="1" applyFill="1" applyBorder="1" applyAlignment="1" applyProtection="0">
      <alignment horizontal="right" vertical="bottom"/>
    </xf>
    <xf numFmtId="49" fontId="44" fillId="4" borderId="55" applyNumberFormat="1" applyFont="1" applyFill="1" applyBorder="1" applyAlignment="1" applyProtection="0">
      <alignment horizontal="right" vertical="bottom"/>
    </xf>
    <xf numFmtId="1" fontId="103" fillId="4" borderId="42" applyNumberFormat="1" applyFont="1" applyFill="1" applyBorder="1" applyAlignment="1" applyProtection="0">
      <alignment horizontal="center" vertical="bottom"/>
    </xf>
    <xf numFmtId="0" fontId="36" fillId="6" borderId="98" applyNumberFormat="0" applyFont="1" applyFill="1" applyBorder="1" applyAlignment="1" applyProtection="0">
      <alignment vertical="bottom"/>
    </xf>
    <xf numFmtId="49" fontId="42" fillId="4" borderId="49" applyNumberFormat="1" applyFont="1" applyFill="1" applyBorder="1" applyAlignment="1" applyProtection="0">
      <alignment vertical="bottom"/>
    </xf>
    <xf numFmtId="0" fontId="44" fillId="4" borderId="10" applyNumberFormat="0" applyFont="1" applyFill="1" applyBorder="1" applyAlignment="1" applyProtection="0">
      <alignment vertical="bottom"/>
    </xf>
    <xf numFmtId="0" fontId="44" fillId="4" borderId="10" applyNumberFormat="0" applyFont="1" applyFill="1" applyBorder="1" applyAlignment="1" applyProtection="0">
      <alignment horizontal="center" vertical="bottom"/>
    </xf>
    <xf numFmtId="0" fontId="44" fillId="4" borderId="10" applyNumberFormat="0" applyFont="1" applyFill="1" applyBorder="1" applyAlignment="1" applyProtection="0">
      <alignment horizontal="right" vertical="bottom"/>
    </xf>
    <xf numFmtId="14" fontId="103" fillId="4" borderId="59" applyNumberFormat="1" applyFont="1" applyFill="1" applyBorder="1" applyAlignment="1" applyProtection="0">
      <alignment horizontal="center" vertical="bottom"/>
    </xf>
    <xf numFmtId="49" fontId="104" fillId="3" borderId="43" applyNumberFormat="1" applyFont="1" applyFill="1" applyBorder="1" applyAlignment="1" applyProtection="0">
      <alignment vertical="bottom"/>
    </xf>
    <xf numFmtId="0" fontId="105" fillId="3" borderId="17" applyNumberFormat="0" applyFont="1" applyFill="1" applyBorder="1" applyAlignment="1" applyProtection="0">
      <alignment horizontal="right" vertical="bottom"/>
    </xf>
    <xf numFmtId="14" fontId="105" fillId="3" borderId="17" applyNumberFormat="1" applyFont="1" applyFill="1" applyBorder="1" applyAlignment="1" applyProtection="0">
      <alignment horizontal="center" vertical="bottom"/>
    </xf>
    <xf numFmtId="0" fontId="48" fillId="3" borderId="17" applyNumberFormat="0" applyFont="1" applyFill="1" applyBorder="1" applyAlignment="1" applyProtection="0">
      <alignment vertical="bottom"/>
    </xf>
    <xf numFmtId="0" fontId="71" fillId="3" borderId="17" applyNumberFormat="0" applyFont="1" applyFill="1" applyBorder="1" applyAlignment="1" applyProtection="0">
      <alignment horizontal="right" vertical="bottom"/>
    </xf>
    <xf numFmtId="14" fontId="71" fillId="3" borderId="17" applyNumberFormat="1" applyFont="1" applyFill="1" applyBorder="1" applyAlignment="1" applyProtection="0">
      <alignment horizontal="left" vertical="bottom"/>
    </xf>
    <xf numFmtId="0" fontId="36" fillId="3" borderId="17" applyNumberFormat="0" applyFont="1" applyFill="1" applyBorder="1" applyAlignment="1" applyProtection="0">
      <alignment vertical="bottom"/>
    </xf>
    <xf numFmtId="0" fontId="48" fillId="3" borderId="44" applyNumberFormat="0" applyFont="1" applyFill="1" applyBorder="1" applyAlignment="1" applyProtection="0">
      <alignment vertical="bottom"/>
    </xf>
    <xf numFmtId="49" fontId="104" fillId="3" borderId="30" applyNumberFormat="1" applyFont="1" applyFill="1" applyBorder="1" applyAlignment="1" applyProtection="0">
      <alignment vertical="bottom"/>
    </xf>
    <xf numFmtId="0" fontId="48" fillId="3" borderId="8" applyNumberFormat="0" applyFont="1" applyFill="1" applyBorder="1" applyAlignment="1" applyProtection="0">
      <alignment vertical="bottom"/>
    </xf>
    <xf numFmtId="0" fontId="48" fillId="3" borderId="34" applyNumberFormat="0" applyFont="1" applyFill="1" applyBorder="1" applyAlignment="1" applyProtection="0">
      <alignment vertical="bottom"/>
    </xf>
    <xf numFmtId="0" fontId="106" fillId="3" borderId="8" applyNumberFormat="0" applyFont="1" applyFill="1" applyBorder="1" applyAlignment="1" applyProtection="0">
      <alignment horizontal="center" vertical="top"/>
    </xf>
    <xf numFmtId="0" fontId="107" fillId="3" borderId="8" applyNumberFormat="0" applyFont="1" applyFill="1" applyBorder="1" applyAlignment="1" applyProtection="0">
      <alignment vertical="bottom"/>
    </xf>
    <xf numFmtId="49" fontId="104" fillId="3" borderId="49" applyNumberFormat="1" applyFont="1" applyFill="1" applyBorder="1" applyAlignment="1" applyProtection="0">
      <alignment vertical="bottom"/>
    </xf>
    <xf numFmtId="0" fontId="48" fillId="3" borderId="10" applyNumberFormat="0" applyFont="1" applyFill="1" applyBorder="1" applyAlignment="1" applyProtection="0">
      <alignment vertical="bottom"/>
    </xf>
    <xf numFmtId="0" fontId="106" fillId="3" borderId="10" applyNumberFormat="0" applyFont="1" applyFill="1" applyBorder="1" applyAlignment="1" applyProtection="0">
      <alignment horizontal="center" vertical="top"/>
    </xf>
    <xf numFmtId="0" fontId="107" fillId="3" borderId="10" applyNumberFormat="0" applyFont="1" applyFill="1" applyBorder="1" applyAlignment="1" applyProtection="0">
      <alignment vertical="bottom"/>
    </xf>
    <xf numFmtId="0" fontId="36" fillId="3" borderId="10" applyNumberFormat="0" applyFont="1" applyFill="1" applyBorder="1" applyAlignment="1" applyProtection="0">
      <alignment vertical="bottom"/>
    </xf>
    <xf numFmtId="0" fontId="48" fillId="3" borderId="50" applyNumberFormat="0" applyFont="1" applyFill="1" applyBorder="1" applyAlignment="1" applyProtection="0">
      <alignment vertical="bottom"/>
    </xf>
    <xf numFmtId="49" fontId="27" fillId="7" borderId="58" applyNumberFormat="1" applyFont="1" applyFill="1" applyBorder="1" applyAlignment="1" applyProtection="0">
      <alignment horizontal="center" vertical="bottom" wrapText="1"/>
    </xf>
    <xf numFmtId="49" fontId="27" fillId="7" borderId="13" applyNumberFormat="1" applyFont="1" applyFill="1" applyBorder="1" applyAlignment="1" applyProtection="0">
      <alignment horizontal="center" vertical="bottom" wrapText="1"/>
    </xf>
    <xf numFmtId="49" fontId="27" fillId="7" borderId="13" applyNumberFormat="1" applyFont="1" applyFill="1" applyBorder="1" applyAlignment="1" applyProtection="0">
      <alignment vertical="bottom"/>
    </xf>
    <xf numFmtId="0" fontId="36" fillId="7" borderId="13" applyNumberFormat="0" applyFont="1" applyFill="1" applyBorder="1" applyAlignment="1" applyProtection="0">
      <alignment vertical="bottom"/>
    </xf>
    <xf numFmtId="0" fontId="61" fillId="7" borderId="13" applyNumberFormat="0" applyFont="1" applyFill="1" applyBorder="1" applyAlignment="1" applyProtection="0">
      <alignment horizontal="right" vertical="bottom"/>
    </xf>
    <xf numFmtId="0" fontId="61" fillId="7" borderId="13" applyNumberFormat="0" applyFont="1" applyFill="1" applyBorder="1" applyAlignment="1" applyProtection="0">
      <alignment vertical="bottom"/>
    </xf>
    <xf numFmtId="0" fontId="61" fillId="7" borderId="59" applyNumberFormat="0" applyFont="1" applyFill="1" applyBorder="1" applyAlignment="1" applyProtection="0">
      <alignment vertical="bottom"/>
    </xf>
    <xf numFmtId="70" fontId="28" fillId="3" borderId="43" applyNumberFormat="1" applyFont="1" applyFill="1" applyBorder="1" applyAlignment="1" applyProtection="0">
      <alignment horizontal="center" vertical="bottom"/>
    </xf>
    <xf numFmtId="49" fontId="28" fillId="3" borderId="17" applyNumberFormat="1" applyFont="1" applyFill="1" applyBorder="1" applyAlignment="1" applyProtection="0">
      <alignment horizontal="center" vertical="bottom"/>
    </xf>
    <xf numFmtId="49" fontId="28" fillId="3" borderId="17" applyNumberFormat="1" applyFont="1" applyFill="1" applyBorder="1" applyAlignment="1" applyProtection="0">
      <alignment horizontal="left" vertical="bottom"/>
    </xf>
    <xf numFmtId="0" fontId="28" fillId="3" borderId="17" applyNumberFormat="0" applyFont="1" applyFill="1" applyBorder="1" applyAlignment="1" applyProtection="0">
      <alignment vertical="bottom"/>
    </xf>
    <xf numFmtId="0" fontId="28" fillId="3" borderId="44" applyNumberFormat="0" applyFont="1" applyFill="1" applyBorder="1" applyAlignment="1" applyProtection="0">
      <alignment vertical="bottom"/>
    </xf>
    <xf numFmtId="70" fontId="28" fillId="3" borderId="30" applyNumberFormat="1" applyFont="1" applyFill="1" applyBorder="1" applyAlignment="1" applyProtection="0">
      <alignment horizontal="center" vertical="bottom"/>
    </xf>
    <xf numFmtId="70" fontId="28" fillId="3" borderId="8" applyNumberFormat="1" applyFont="1" applyFill="1" applyBorder="1" applyAlignment="1" applyProtection="0">
      <alignment horizontal="center" vertical="bottom"/>
    </xf>
    <xf numFmtId="49" fontId="28" fillId="3" borderId="8" applyNumberFormat="1" applyFont="1" applyFill="1" applyBorder="1" applyAlignment="1" applyProtection="0">
      <alignment horizontal="left" vertical="bottom"/>
    </xf>
    <xf numFmtId="49" fontId="28" fillId="3" borderId="8" applyNumberFormat="1" applyFont="1" applyFill="1" applyBorder="1" applyAlignment="1" applyProtection="0">
      <alignment horizontal="center" vertical="bottom"/>
    </xf>
    <xf numFmtId="18" fontId="28" fillId="3" borderId="8" applyNumberFormat="1" applyFont="1" applyFill="1" applyBorder="1" applyAlignment="1" applyProtection="0">
      <alignment horizontal="left" vertical="bottom"/>
    </xf>
    <xf numFmtId="0" fontId="28" fillId="3" borderId="8" applyNumberFormat="0" applyFont="1" applyFill="1" applyBorder="1" applyAlignment="1" applyProtection="0">
      <alignment horizontal="left" vertical="bottom"/>
    </xf>
    <xf numFmtId="18" fontId="0" fillId="3" borderId="8" applyNumberFormat="1" applyFont="1" applyFill="1" applyBorder="1" applyAlignment="1" applyProtection="0">
      <alignment vertical="bottom"/>
    </xf>
    <xf numFmtId="49" fontId="28" fillId="3" borderId="30" applyNumberFormat="1" applyFont="1" applyFill="1" applyBorder="1" applyAlignment="1" applyProtection="0">
      <alignment horizontal="center" vertical="bottom"/>
    </xf>
    <xf numFmtId="0" fontId="28" fillId="3" borderId="8" applyNumberFormat="1" applyFont="1" applyFill="1" applyBorder="1" applyAlignment="1" applyProtection="0">
      <alignment horizontal="center" vertical="bottom"/>
    </xf>
    <xf numFmtId="18" fontId="28" fillId="3" borderId="8" applyNumberFormat="1" applyFont="1" applyFill="1" applyBorder="1" applyAlignment="1" applyProtection="0">
      <alignment vertical="bottom"/>
    </xf>
    <xf numFmtId="70" fontId="28" fillId="3" borderId="37" applyNumberFormat="1" applyFont="1" applyFill="1" applyBorder="1" applyAlignment="1" applyProtection="0">
      <alignment horizontal="center" vertical="bottom"/>
    </xf>
    <xf numFmtId="70" fontId="28" fillId="3" borderId="25" applyNumberFormat="1" applyFont="1" applyFill="1" applyBorder="1" applyAlignment="1" applyProtection="0">
      <alignment horizontal="center" vertical="bottom"/>
    </xf>
    <xf numFmtId="49" fontId="28" fillId="3" borderId="25" applyNumberFormat="1" applyFont="1" applyFill="1" applyBorder="1" applyAlignment="1" applyProtection="0">
      <alignment horizontal="left" vertical="bottom"/>
    </xf>
    <xf numFmtId="18" fontId="26" fillId="3" borderId="25" applyNumberFormat="1" applyFont="1" applyFill="1" applyBorder="1" applyAlignment="1" applyProtection="0">
      <alignment vertical="bottom"/>
    </xf>
    <xf numFmtId="0" fontId="26" fillId="3" borderId="25" applyNumberFormat="0" applyFont="1" applyFill="1" applyBorder="1" applyAlignment="1" applyProtection="0">
      <alignment vertical="bottom"/>
    </xf>
    <xf numFmtId="0" fontId="28" fillId="3" borderId="38" applyNumberFormat="0" applyFont="1" applyFill="1" applyBorder="1" applyAlignment="1" applyProtection="0">
      <alignment vertical="bottom"/>
    </xf>
    <xf numFmtId="49" fontId="50" fillId="5" borderId="35" applyNumberFormat="1" applyFont="1" applyFill="1" applyBorder="1" applyAlignment="1" applyProtection="0">
      <alignment horizontal="left" vertical="bottom" wrapText="1"/>
    </xf>
    <xf numFmtId="0" fontId="101" fillId="5" borderId="55" applyNumberFormat="0" applyFont="1" applyFill="1" applyBorder="1" applyAlignment="1" applyProtection="0">
      <alignment vertical="bottom" wrapText="1"/>
    </xf>
    <xf numFmtId="49" fontId="15" fillId="5" borderId="55" applyNumberFormat="1" applyFont="1" applyFill="1" applyBorder="1" applyAlignment="1" applyProtection="0">
      <alignment horizontal="center" vertical="bottom" wrapText="1"/>
    </xf>
    <xf numFmtId="0" fontId="15" fillId="5" borderId="55" applyNumberFormat="0" applyFont="1" applyFill="1" applyBorder="1" applyAlignment="1" applyProtection="0">
      <alignment horizontal="center" vertical="bottom" wrapText="1"/>
    </xf>
    <xf numFmtId="49" fontId="15" fillId="5" borderId="36" applyNumberFormat="1" applyFont="1" applyFill="1" applyBorder="1" applyAlignment="1" applyProtection="0">
      <alignment horizontal="center" vertical="bottom" wrapText="1"/>
    </xf>
    <xf numFmtId="0" fontId="101" fillId="5" borderId="30" applyNumberFormat="0" applyFont="1" applyFill="1" applyBorder="1" applyAlignment="1" applyProtection="0">
      <alignment vertical="bottom" wrapText="1"/>
    </xf>
    <xf numFmtId="0" fontId="101" fillId="5" borderId="8" applyNumberFormat="0" applyFont="1" applyFill="1" applyBorder="1" applyAlignment="1" applyProtection="0">
      <alignment vertical="bottom" wrapText="1"/>
    </xf>
    <xf numFmtId="0" fontId="101" fillId="5" borderId="8" applyNumberFormat="0" applyFont="1" applyFill="1" applyBorder="1" applyAlignment="1" applyProtection="0">
      <alignment horizontal="center" vertical="bottom" wrapText="1"/>
    </xf>
    <xf numFmtId="0" fontId="15" fillId="5" borderId="8" applyNumberFormat="0" applyFont="1" applyFill="1" applyBorder="1" applyAlignment="1" applyProtection="0">
      <alignment horizontal="center" vertical="bottom" wrapText="1"/>
    </xf>
    <xf numFmtId="0" fontId="101" fillId="5" borderId="34" applyNumberFormat="0" applyFont="1" applyFill="1" applyBorder="1" applyAlignment="1" applyProtection="0">
      <alignment horizontal="center" vertical="bottom" wrapText="1"/>
    </xf>
    <xf numFmtId="0" fontId="101" fillId="5" borderId="37" applyNumberFormat="0" applyFont="1" applyFill="1" applyBorder="1" applyAlignment="1" applyProtection="0">
      <alignment vertical="bottom"/>
    </xf>
    <xf numFmtId="0" fontId="101" fillId="5" borderId="25" applyNumberFormat="0" applyFont="1" applyFill="1" applyBorder="1" applyAlignment="1" applyProtection="0">
      <alignment vertical="bottom"/>
    </xf>
    <xf numFmtId="0" fontId="15" fillId="5" borderId="25" applyNumberFormat="0" applyFont="1" applyFill="1" applyBorder="1" applyAlignment="1" applyProtection="0">
      <alignment horizontal="center" vertical="bottom" wrapText="1"/>
    </xf>
    <xf numFmtId="0" fontId="101" fillId="5" borderId="25" applyNumberFormat="0" applyFont="1" applyFill="1" applyBorder="1" applyAlignment="1" applyProtection="0">
      <alignment horizontal="center" vertical="bottom" wrapText="1"/>
    </xf>
    <xf numFmtId="0" fontId="15" fillId="5" borderId="25" applyNumberFormat="0" applyFont="1" applyFill="1" applyBorder="1" applyAlignment="1" applyProtection="0">
      <alignment vertical="bottom" wrapText="1"/>
    </xf>
    <xf numFmtId="0" fontId="101" fillId="5" borderId="38" applyNumberFormat="0" applyFont="1" applyFill="1" applyBorder="1" applyAlignment="1" applyProtection="0">
      <alignment horizontal="center" vertical="bottom" wrapText="1"/>
    </xf>
    <xf numFmtId="49" fontId="79" fillId="4" borderId="28" applyNumberFormat="1" applyFont="1" applyFill="1" applyBorder="1" applyAlignment="1" applyProtection="0">
      <alignment horizontal="left" vertical="bottom"/>
    </xf>
    <xf numFmtId="49" fontId="79" fillId="4" borderId="26" applyNumberFormat="1" applyFont="1" applyFill="1" applyBorder="1" applyAlignment="1" applyProtection="0">
      <alignment horizontal="right" vertical="bottom"/>
    </xf>
    <xf numFmtId="49" fontId="102" fillId="4" borderId="26" applyNumberFormat="1" applyFont="1" applyFill="1" applyBorder="1" applyAlignment="1" applyProtection="0">
      <alignment horizontal="center" vertical="bottom"/>
    </xf>
    <xf numFmtId="49" fontId="79" fillId="4" borderId="29" applyNumberFormat="1" applyFont="1" applyFill="1" applyBorder="1" applyAlignment="1" applyProtection="0">
      <alignment horizontal="right" vertical="bottom"/>
    </xf>
    <xf numFmtId="49" fontId="28" fillId="3" borderId="35" applyNumberFormat="1" applyFont="1" applyFill="1" applyBorder="1" applyAlignment="1" applyProtection="0">
      <alignment horizontal="left" vertical="bottom"/>
    </xf>
    <xf numFmtId="1" fontId="28" fillId="3" borderId="55" applyNumberFormat="1" applyFont="1" applyFill="1" applyBorder="1" applyAlignment="1" applyProtection="0">
      <alignment horizontal="right" vertical="bottom"/>
    </xf>
    <xf numFmtId="61" fontId="28" fillId="3" borderId="55" applyNumberFormat="1" applyFont="1" applyFill="1" applyBorder="1" applyAlignment="1" applyProtection="0">
      <alignment horizontal="right" vertical="bottom"/>
    </xf>
    <xf numFmtId="61" fontId="28" fillId="3" borderId="75" applyNumberFormat="1" applyFont="1" applyFill="1" applyBorder="1" applyAlignment="1" applyProtection="0">
      <alignment horizontal="right" vertical="bottom"/>
    </xf>
    <xf numFmtId="0" fontId="28" fillId="3" borderId="76" applyNumberFormat="0" applyFont="1" applyFill="1" applyBorder="1" applyAlignment="1" applyProtection="0">
      <alignment vertical="bottom"/>
    </xf>
    <xf numFmtId="49" fontId="28" fillId="3" borderId="75" applyNumberFormat="1" applyFont="1" applyFill="1" applyBorder="1" applyAlignment="1" applyProtection="0">
      <alignment vertical="bottom"/>
    </xf>
    <xf numFmtId="61" fontId="28" fillId="3" borderId="76" applyNumberFormat="1" applyFont="1" applyFill="1" applyBorder="1" applyAlignment="1" applyProtection="0">
      <alignment vertical="bottom"/>
    </xf>
    <xf numFmtId="49" fontId="28" fillId="3" borderId="36" applyNumberFormat="1" applyFont="1" applyFill="1" applyBorder="1" applyAlignment="1" applyProtection="0">
      <alignment vertical="bottom"/>
    </xf>
    <xf numFmtId="49" fontId="28" fillId="3" borderId="30" applyNumberFormat="1" applyFont="1" applyFill="1" applyBorder="1" applyAlignment="1" applyProtection="0">
      <alignment horizontal="left" vertical="bottom"/>
    </xf>
    <xf numFmtId="1" fontId="28" fillId="3" borderId="8" applyNumberFormat="1" applyFont="1" applyFill="1" applyBorder="1" applyAlignment="1" applyProtection="0">
      <alignment horizontal="right" vertical="bottom"/>
    </xf>
    <xf numFmtId="61" fontId="28" fillId="3" borderId="8" applyNumberFormat="1" applyFont="1" applyFill="1" applyBorder="1" applyAlignment="1" applyProtection="0">
      <alignment horizontal="right" vertical="bottom"/>
    </xf>
    <xf numFmtId="61" fontId="28" fillId="3" borderId="19" applyNumberFormat="1" applyFont="1" applyFill="1" applyBorder="1" applyAlignment="1" applyProtection="0">
      <alignment horizontal="right" vertical="bottom"/>
    </xf>
    <xf numFmtId="49" fontId="28" fillId="3" borderId="19" applyNumberFormat="1" applyFont="1" applyFill="1" applyBorder="1" applyAlignment="1" applyProtection="0">
      <alignment vertical="bottom"/>
    </xf>
    <xf numFmtId="61" fontId="28" fillId="3" borderId="15" applyNumberFormat="1" applyFont="1" applyFill="1" applyBorder="1" applyAlignment="1" applyProtection="0">
      <alignment vertical="bottom"/>
    </xf>
    <xf numFmtId="49" fontId="28" fillId="3" borderId="34" applyNumberFormat="1" applyFont="1" applyFill="1" applyBorder="1" applyAlignment="1" applyProtection="0">
      <alignment vertical="bottom"/>
    </xf>
    <xf numFmtId="49" fontId="28" fillId="3" borderId="49" applyNumberFormat="1" applyFont="1" applyFill="1" applyBorder="1" applyAlignment="1" applyProtection="0">
      <alignment horizontal="left" vertical="bottom"/>
    </xf>
    <xf numFmtId="1" fontId="28" fillId="3" borderId="10" applyNumberFormat="1" applyFont="1" applyFill="1" applyBorder="1" applyAlignment="1" applyProtection="0">
      <alignment horizontal="right" vertical="bottom"/>
    </xf>
    <xf numFmtId="61" fontId="28" fillId="3" borderId="10" applyNumberFormat="1" applyFont="1" applyFill="1" applyBorder="1" applyAlignment="1" applyProtection="0">
      <alignment horizontal="right" vertical="bottom"/>
    </xf>
    <xf numFmtId="61" fontId="28" fillId="3" borderId="21" applyNumberFormat="1" applyFont="1" applyFill="1" applyBorder="1" applyAlignment="1" applyProtection="0">
      <alignment horizontal="right" vertical="bottom"/>
    </xf>
    <xf numFmtId="0" fontId="28" fillId="3" borderId="20" applyNumberFormat="0" applyFont="1" applyFill="1" applyBorder="1" applyAlignment="1" applyProtection="0">
      <alignment vertical="bottom"/>
    </xf>
    <xf numFmtId="49" fontId="28" fillId="3" borderId="21" applyNumberFormat="1" applyFont="1" applyFill="1" applyBorder="1" applyAlignment="1" applyProtection="0">
      <alignment vertical="bottom"/>
    </xf>
    <xf numFmtId="61" fontId="28" fillId="3" borderId="20" applyNumberFormat="1" applyFont="1" applyFill="1" applyBorder="1" applyAlignment="1" applyProtection="0">
      <alignment vertical="bottom"/>
    </xf>
    <xf numFmtId="49" fontId="28" fillId="3" borderId="50" applyNumberFormat="1" applyFont="1" applyFill="1" applyBorder="1" applyAlignment="1" applyProtection="0">
      <alignment vertical="bottom"/>
    </xf>
    <xf numFmtId="49" fontId="26" fillId="3" borderId="43" applyNumberFormat="1" applyFont="1" applyFill="1" applyBorder="1" applyAlignment="1" applyProtection="0">
      <alignment horizontal="left" vertical="bottom"/>
    </xf>
    <xf numFmtId="0" fontId="56" fillId="3" borderId="17" applyNumberFormat="0" applyFont="1" applyFill="1" applyBorder="1" applyAlignment="1" applyProtection="0">
      <alignment horizontal="center" vertical="bottom"/>
    </xf>
    <xf numFmtId="0" fontId="28" fillId="3" borderId="17" applyNumberFormat="0" applyFont="1" applyFill="1" applyBorder="1" applyAlignment="1" applyProtection="0">
      <alignment horizontal="center" vertical="bottom"/>
    </xf>
    <xf numFmtId="61" fontId="26" fillId="3" borderId="18" applyNumberFormat="1" applyFont="1" applyFill="1" applyBorder="1" applyAlignment="1" applyProtection="0">
      <alignment horizontal="right" vertical="bottom"/>
    </xf>
    <xf numFmtId="0" fontId="28" fillId="3" borderId="16" applyNumberFormat="0" applyFont="1" applyFill="1" applyBorder="1" applyAlignment="1" applyProtection="0">
      <alignment vertical="bottom"/>
    </xf>
    <xf numFmtId="49" fontId="26" fillId="3" borderId="18" applyNumberFormat="1" applyFont="1" applyFill="1" applyBorder="1" applyAlignment="1" applyProtection="0">
      <alignment vertical="bottom"/>
    </xf>
    <xf numFmtId="61" fontId="26" fillId="3" borderId="16" applyNumberFormat="1" applyFont="1" applyFill="1" applyBorder="1" applyAlignment="1" applyProtection="0">
      <alignment vertical="bottom"/>
    </xf>
    <xf numFmtId="49" fontId="26" fillId="3" borderId="44" applyNumberFormat="1" applyFont="1" applyFill="1" applyBorder="1" applyAlignment="1" applyProtection="0">
      <alignment vertical="bottom"/>
    </xf>
    <xf numFmtId="0" fontId="108" fillId="3" borderId="30" applyNumberFormat="0" applyFont="1" applyFill="1" applyBorder="1" applyAlignment="1" applyProtection="0">
      <alignment vertical="bottom"/>
    </xf>
    <xf numFmtId="0" fontId="108" fillId="3" borderId="8" applyNumberFormat="0" applyFont="1" applyFill="1" applyBorder="1" applyAlignment="1" applyProtection="0">
      <alignment vertical="bottom"/>
    </xf>
    <xf numFmtId="61" fontId="108" fillId="3" borderId="8" applyNumberFormat="1" applyFont="1" applyFill="1" applyBorder="1" applyAlignment="1" applyProtection="0">
      <alignment horizontal="center" vertical="bottom"/>
    </xf>
    <xf numFmtId="61" fontId="108" fillId="3" borderId="19" applyNumberFormat="1" applyFont="1" applyFill="1" applyBorder="1" applyAlignment="1" applyProtection="0">
      <alignment vertical="bottom"/>
    </xf>
    <xf numFmtId="61" fontId="28" fillId="3" borderId="19" applyNumberFormat="1" applyFont="1" applyFill="1" applyBorder="1" applyAlignment="1" applyProtection="0">
      <alignment vertical="bottom"/>
    </xf>
    <xf numFmtId="61" fontId="28" fillId="3" borderId="34" applyNumberFormat="1" applyFont="1" applyFill="1" applyBorder="1" applyAlignment="1" applyProtection="0">
      <alignment vertical="bottom"/>
    </xf>
    <xf numFmtId="49" fontId="28" fillId="3" borderId="30" applyNumberFormat="1" applyFont="1" applyFill="1" applyBorder="1" applyAlignment="1" applyProtection="0">
      <alignment vertical="bottom"/>
    </xf>
    <xf numFmtId="60" fontId="28" fillId="3" borderId="8" applyNumberFormat="1" applyFont="1" applyFill="1" applyBorder="1" applyAlignment="1" applyProtection="0">
      <alignment horizontal="right" vertical="bottom"/>
    </xf>
    <xf numFmtId="49" fontId="28" fillId="3" borderId="19" applyNumberFormat="1" applyFont="1" applyFill="1" applyBorder="1" applyAlignment="1" applyProtection="0">
      <alignment horizontal="right" vertical="bottom"/>
    </xf>
    <xf numFmtId="61" fontId="75" fillId="3" borderId="15" applyNumberFormat="1" applyFont="1" applyFill="1" applyBorder="1" applyAlignment="1" applyProtection="0">
      <alignment vertical="bottom"/>
    </xf>
    <xf numFmtId="49" fontId="28" fillId="3" borderId="34" applyNumberFormat="1" applyFont="1" applyFill="1" applyBorder="1" applyAlignment="1" applyProtection="0">
      <alignment horizontal="right" vertical="bottom"/>
    </xf>
    <xf numFmtId="49" fontId="28" fillId="3" borderId="8" applyNumberFormat="1" applyFont="1" applyFill="1" applyBorder="1" applyAlignment="1" applyProtection="0">
      <alignment horizontal="right" vertical="bottom"/>
    </xf>
    <xf numFmtId="0" fontId="28" fillId="3" borderId="49" applyNumberFormat="0" applyFont="1" applyFill="1" applyBorder="1" applyAlignment="1" applyProtection="0">
      <alignment vertical="bottom"/>
    </xf>
    <xf numFmtId="0" fontId="28" fillId="3" borderId="10" applyNumberFormat="0" applyFont="1" applyFill="1" applyBorder="1" applyAlignment="1" applyProtection="0">
      <alignment vertical="bottom"/>
    </xf>
    <xf numFmtId="0" fontId="28" fillId="3" borderId="10" applyNumberFormat="0" applyFont="1" applyFill="1" applyBorder="1" applyAlignment="1" applyProtection="0">
      <alignment horizontal="center" vertical="bottom"/>
    </xf>
    <xf numFmtId="61" fontId="28" fillId="3" borderId="50" applyNumberFormat="1" applyFont="1" applyFill="1" applyBorder="1" applyAlignment="1" applyProtection="0">
      <alignment horizontal="right" vertical="bottom"/>
    </xf>
    <xf numFmtId="49" fontId="26" fillId="3" borderId="100" applyNumberFormat="1" applyFont="1" applyFill="1" applyBorder="1" applyAlignment="1" applyProtection="0">
      <alignment horizontal="left" vertical="bottom"/>
    </xf>
    <xf numFmtId="0" fontId="56" fillId="3" borderId="97" applyNumberFormat="0" applyFont="1" applyFill="1" applyBorder="1" applyAlignment="1" applyProtection="0">
      <alignment horizontal="right" vertical="bottom"/>
    </xf>
    <xf numFmtId="0" fontId="28" fillId="3" borderId="97" applyNumberFormat="0" applyFont="1" applyFill="1" applyBorder="1" applyAlignment="1" applyProtection="0">
      <alignment horizontal="center" vertical="bottom"/>
    </xf>
    <xf numFmtId="61" fontId="28" fillId="3" borderId="101" applyNumberFormat="1" applyFont="1" applyFill="1" applyBorder="1" applyAlignment="1" applyProtection="0">
      <alignment horizontal="right" vertical="bottom"/>
    </xf>
    <xf numFmtId="0" fontId="28" fillId="3" borderId="69" applyNumberFormat="0" applyFont="1" applyFill="1" applyBorder="1" applyAlignment="1" applyProtection="0">
      <alignment vertical="bottom"/>
    </xf>
    <xf numFmtId="49" fontId="28" fillId="3" borderId="101" applyNumberFormat="1" applyFont="1" applyFill="1" applyBorder="1" applyAlignment="1" applyProtection="0">
      <alignment horizontal="right" vertical="bottom"/>
    </xf>
    <xf numFmtId="61" fontId="28" fillId="3" borderId="69" applyNumberFormat="1" applyFont="1" applyFill="1" applyBorder="1" applyAlignment="1" applyProtection="0">
      <alignment vertical="bottom"/>
    </xf>
    <xf numFmtId="49" fontId="28" fillId="3" borderId="54" applyNumberFormat="1" applyFont="1" applyFill="1" applyBorder="1" applyAlignment="1" applyProtection="0">
      <alignment horizontal="right" vertical="bottom"/>
    </xf>
    <xf numFmtId="49" fontId="26" fillId="7" borderId="35" applyNumberFormat="1" applyFont="1" applyFill="1" applyBorder="1" applyAlignment="1" applyProtection="0">
      <alignment vertical="bottom"/>
    </xf>
    <xf numFmtId="0" fontId="28" fillId="7" borderId="55" applyNumberFormat="0" applyFont="1" applyFill="1" applyBorder="1" applyAlignment="1" applyProtection="0">
      <alignment vertical="bottom"/>
    </xf>
    <xf numFmtId="0" fontId="28" fillId="7" borderId="55" applyNumberFormat="0" applyFont="1" applyFill="1" applyBorder="1" applyAlignment="1" applyProtection="0">
      <alignment horizontal="center" vertical="bottom"/>
    </xf>
    <xf numFmtId="61" fontId="26" fillId="7" borderId="55" applyNumberFormat="1" applyFont="1" applyFill="1" applyBorder="1" applyAlignment="1" applyProtection="0">
      <alignment vertical="bottom"/>
    </xf>
    <xf numFmtId="49" fontId="26" fillId="7" borderId="55" applyNumberFormat="1" applyFont="1" applyFill="1" applyBorder="1" applyAlignment="1" applyProtection="0">
      <alignment vertical="bottom"/>
    </xf>
    <xf numFmtId="61" fontId="28" fillId="7" borderId="55" applyNumberFormat="1" applyFont="1" applyFill="1" applyBorder="1" applyAlignment="1" applyProtection="0">
      <alignment vertical="bottom"/>
    </xf>
    <xf numFmtId="49" fontId="26" fillId="7" borderId="36" applyNumberFormat="1" applyFont="1" applyFill="1" applyBorder="1" applyAlignment="1" applyProtection="0">
      <alignment vertical="bottom"/>
    </xf>
    <xf numFmtId="49" fontId="26" fillId="7" borderId="30" applyNumberFormat="1" applyFont="1" applyFill="1" applyBorder="1" applyAlignment="1" applyProtection="0">
      <alignment vertical="bottom"/>
    </xf>
    <xf numFmtId="61" fontId="26" fillId="7" borderId="8" applyNumberFormat="1" applyFont="1" applyFill="1" applyBorder="1" applyAlignment="1" applyProtection="0">
      <alignment vertical="bottom"/>
    </xf>
    <xf numFmtId="49" fontId="26" fillId="7" borderId="8" applyNumberFormat="1" applyFont="1" applyFill="1" applyBorder="1" applyAlignment="1" applyProtection="0">
      <alignment vertical="bottom"/>
    </xf>
    <xf numFmtId="61" fontId="28" fillId="7" borderId="8" applyNumberFormat="1" applyFont="1" applyFill="1" applyBorder="1" applyAlignment="1" applyProtection="0">
      <alignment vertical="bottom"/>
    </xf>
    <xf numFmtId="49" fontId="26" fillId="7" borderId="34" applyNumberFormat="1" applyFont="1" applyFill="1" applyBorder="1" applyAlignment="1" applyProtection="0">
      <alignment vertical="bottom"/>
    </xf>
    <xf numFmtId="0" fontId="109" fillId="7" borderId="37" applyNumberFormat="0" applyFont="1" applyFill="1" applyBorder="1" applyAlignment="1" applyProtection="0">
      <alignment vertical="bottom"/>
    </xf>
    <xf numFmtId="0" fontId="108" fillId="7" borderId="25" applyNumberFormat="0" applyFont="1" applyFill="1" applyBorder="1" applyAlignment="1" applyProtection="0">
      <alignment vertical="bottom"/>
    </xf>
    <xf numFmtId="61" fontId="109" fillId="7" borderId="25" applyNumberFormat="1" applyFont="1" applyFill="1" applyBorder="1" applyAlignment="1" applyProtection="0">
      <alignment vertical="bottom"/>
    </xf>
    <xf numFmtId="61" fontId="109" fillId="7" borderId="25" applyNumberFormat="1" applyFont="1" applyFill="1" applyBorder="1" applyAlignment="1" applyProtection="0">
      <alignment horizontal="center" vertical="bottom"/>
    </xf>
    <xf numFmtId="61" fontId="109" fillId="7" borderId="38" applyNumberFormat="1" applyFont="1" applyFill="1" applyBorder="1" applyAlignment="1" applyProtection="0">
      <alignment horizontal="center" vertical="bottom"/>
    </xf>
    <xf numFmtId="0" fontId="28" fillId="3" borderId="55" applyNumberFormat="0" applyFont="1" applyFill="1" applyBorder="1" applyAlignment="1" applyProtection="0">
      <alignment horizontal="center" vertical="bottom"/>
    </xf>
    <xf numFmtId="3" fontId="25" fillId="3" borderId="102" applyNumberFormat="1" applyFont="1" applyFill="1" applyBorder="1" applyAlignment="1" applyProtection="0">
      <alignment vertical="bottom"/>
    </xf>
    <xf numFmtId="49" fontId="25" fillId="3" borderId="102" applyNumberFormat="1" applyFont="1" applyFill="1" applyBorder="1" applyAlignment="1" applyProtection="0">
      <alignment vertical="bottom"/>
    </xf>
    <xf numFmtId="49" fontId="25" fillId="3" borderId="42" applyNumberFormat="1" applyFont="1" applyFill="1" applyBorder="1" applyAlignment="1" applyProtection="0">
      <alignment vertical="bottom"/>
    </xf>
    <xf numFmtId="3" fontId="28" fillId="3" borderId="8" applyNumberFormat="1" applyFont="1" applyFill="1" applyBorder="1" applyAlignment="1" applyProtection="0">
      <alignment horizontal="right" vertical="bottom"/>
    </xf>
    <xf numFmtId="62" fontId="28" fillId="3" borderId="8" applyNumberFormat="1" applyFont="1" applyFill="1" applyBorder="1" applyAlignment="1" applyProtection="0">
      <alignment horizontal="right" vertical="bottom"/>
    </xf>
    <xf numFmtId="61" fontId="28" fillId="3" borderId="18" applyNumberFormat="1" applyFont="1" applyFill="1" applyBorder="1" applyAlignment="1" applyProtection="0">
      <alignment vertical="bottom"/>
    </xf>
    <xf numFmtId="49" fontId="28" fillId="3" borderId="18" applyNumberFormat="1" applyFont="1" applyFill="1" applyBorder="1" applyAlignment="1" applyProtection="0">
      <alignment vertical="bottom"/>
    </xf>
    <xf numFmtId="49" fontId="28" fillId="3" borderId="44" applyNumberFormat="1" applyFont="1" applyFill="1" applyBorder="1" applyAlignment="1" applyProtection="0">
      <alignment vertical="bottom"/>
    </xf>
    <xf numFmtId="3" fontId="28" fillId="3" borderId="10" applyNumberFormat="1" applyFont="1" applyFill="1" applyBorder="1" applyAlignment="1" applyProtection="0">
      <alignment horizontal="right" vertical="bottom"/>
    </xf>
    <xf numFmtId="62" fontId="28" fillId="3" borderId="10" applyNumberFormat="1" applyFont="1" applyFill="1" applyBorder="1" applyAlignment="1" applyProtection="0">
      <alignment horizontal="right" vertical="bottom"/>
    </xf>
    <xf numFmtId="61" fontId="28" fillId="3" borderId="21" applyNumberFormat="1" applyFont="1" applyFill="1" applyBorder="1" applyAlignment="1" applyProtection="0">
      <alignment vertical="bottom"/>
    </xf>
    <xf numFmtId="1" fontId="28" fillId="3" borderId="97" applyNumberFormat="1" applyFont="1" applyFill="1" applyBorder="1" applyAlignment="1" applyProtection="0">
      <alignment horizontal="right" vertical="bottom"/>
    </xf>
    <xf numFmtId="61" fontId="26" fillId="3" borderId="97" applyNumberFormat="1" applyFont="1" applyFill="1" applyBorder="1" applyAlignment="1" applyProtection="0">
      <alignment vertical="bottom"/>
    </xf>
    <xf numFmtId="0" fontId="26" fillId="3" borderId="97" applyNumberFormat="0" applyFont="1" applyFill="1" applyBorder="1" applyAlignment="1" applyProtection="0">
      <alignment vertical="bottom"/>
    </xf>
    <xf numFmtId="49" fontId="26" fillId="3" borderId="97" applyNumberFormat="1" applyFont="1" applyFill="1" applyBorder="1" applyAlignment="1" applyProtection="0">
      <alignment vertical="bottom"/>
    </xf>
    <xf numFmtId="49" fontId="26" fillId="3" borderId="54" applyNumberFormat="1" applyFont="1" applyFill="1" applyBorder="1" applyAlignment="1" applyProtection="0">
      <alignment vertical="bottom"/>
    </xf>
    <xf numFmtId="49" fontId="26" fillId="7" borderId="28" applyNumberFormat="1" applyFont="1" applyFill="1" applyBorder="1" applyAlignment="1" applyProtection="0">
      <alignment vertical="bottom"/>
    </xf>
    <xf numFmtId="1" fontId="28" fillId="7" borderId="26" applyNumberFormat="1" applyFont="1" applyFill="1" applyBorder="1" applyAlignment="1" applyProtection="0">
      <alignment horizontal="right" vertical="bottom"/>
    </xf>
    <xf numFmtId="0" fontId="28" fillId="7" borderId="26" applyNumberFormat="0" applyFont="1" applyFill="1" applyBorder="1" applyAlignment="1" applyProtection="0">
      <alignment vertical="bottom"/>
    </xf>
    <xf numFmtId="61" fontId="26" fillId="7" borderId="26" applyNumberFormat="1" applyFont="1" applyFill="1" applyBorder="1" applyAlignment="1" applyProtection="0">
      <alignment vertical="bottom"/>
    </xf>
    <xf numFmtId="0" fontId="26" fillId="7" borderId="26" applyNumberFormat="0" applyFont="1" applyFill="1" applyBorder="1" applyAlignment="1" applyProtection="0">
      <alignment vertical="bottom"/>
    </xf>
    <xf numFmtId="0" fontId="26" fillId="7" borderId="29" applyNumberFormat="0" applyFont="1" applyFill="1" applyBorder="1" applyAlignment="1" applyProtection="0">
      <alignment vertical="bottom"/>
    </xf>
    <xf numFmtId="49" fontId="108" fillId="3" borderId="28" applyNumberFormat="1" applyFont="1" applyFill="1" applyBorder="1" applyAlignment="1" applyProtection="0">
      <alignment vertical="bottom"/>
    </xf>
    <xf numFmtId="1" fontId="36" fillId="3" borderId="26" applyNumberFormat="1" applyFont="1" applyFill="1" applyBorder="1" applyAlignment="1" applyProtection="0">
      <alignment horizontal="right" vertical="bottom"/>
    </xf>
    <xf numFmtId="0" fontId="36" fillId="3" borderId="26" applyNumberFormat="0" applyFont="1" applyFill="1" applyBorder="1" applyAlignment="1" applyProtection="0">
      <alignment horizontal="center" vertical="bottom"/>
    </xf>
    <xf numFmtId="61" fontId="27" fillId="3" borderId="26" applyNumberFormat="1" applyFont="1" applyFill="1" applyBorder="1" applyAlignment="1" applyProtection="0">
      <alignment horizontal="right" vertical="bottom"/>
    </xf>
    <xf numFmtId="0" fontId="36" fillId="3" borderId="26" applyNumberFormat="0" applyFont="1" applyFill="1" applyBorder="1" applyAlignment="1" applyProtection="0">
      <alignment vertical="bottom"/>
    </xf>
    <xf numFmtId="0" fontId="36" fillId="3" borderId="29" applyNumberFormat="0" applyFont="1" applyFill="1" applyBorder="1" applyAlignment="1" applyProtection="0">
      <alignment vertical="bottom"/>
    </xf>
    <xf numFmtId="49" fontId="108" fillId="3" borderId="55" applyNumberFormat="1" applyFont="1" applyFill="1" applyBorder="1" applyAlignment="1" applyProtection="0">
      <alignment vertical="bottom"/>
    </xf>
    <xf numFmtId="0" fontId="87" fillId="3" borderId="55" applyNumberFormat="0" applyFont="1" applyFill="1" applyBorder="1" applyAlignment="1" applyProtection="0">
      <alignment vertical="bottom"/>
    </xf>
    <xf numFmtId="0" fontId="87" fillId="3" borderId="25" applyNumberFormat="0" applyFont="1" applyFill="1" applyBorder="1" applyAlignment="1" applyProtection="0">
      <alignment vertical="bottom"/>
    </xf>
    <xf numFmtId="49" fontId="42" fillId="4" borderId="28" applyNumberFormat="1" applyFont="1" applyFill="1" applyBorder="1" applyAlignment="1" applyProtection="0">
      <alignment horizontal="left" vertical="bottom"/>
    </xf>
    <xf numFmtId="0" fontId="110" fillId="4" borderId="26" applyNumberFormat="0" applyFont="1" applyFill="1" applyBorder="1" applyAlignment="1" applyProtection="0">
      <alignment horizontal="center" vertical="bottom"/>
    </xf>
    <xf numFmtId="49" fontId="7" fillId="4" borderId="29" applyNumberFormat="1" applyFont="1" applyFill="1" applyBorder="1" applyAlignment="1" applyProtection="0">
      <alignment horizontal="right" vertical="bottom"/>
    </xf>
    <xf numFmtId="49" fontId="26" fillId="7" borderId="35" applyNumberFormat="1" applyFont="1" applyFill="1" applyBorder="1" applyAlignment="1" applyProtection="0">
      <alignment horizontal="center" vertical="center" wrapText="1"/>
    </xf>
    <xf numFmtId="0" fontId="27" fillId="7" borderId="55" applyNumberFormat="0" applyFont="1" applyFill="1" applyBorder="1" applyAlignment="1" applyProtection="0">
      <alignment horizontal="left" vertical="bottom"/>
    </xf>
    <xf numFmtId="49" fontId="26" fillId="7" borderId="55" applyNumberFormat="1" applyFont="1" applyFill="1" applyBorder="1" applyAlignment="1" applyProtection="0">
      <alignment horizontal="center" vertical="bottom"/>
    </xf>
    <xf numFmtId="0" fontId="28" fillId="7" borderId="36" applyNumberFormat="0" applyFont="1" applyFill="1" applyBorder="1" applyAlignment="1" applyProtection="0">
      <alignment vertical="bottom"/>
    </xf>
    <xf numFmtId="49" fontId="26" fillId="7" borderId="49" applyNumberFormat="1" applyFont="1" applyFill="1" applyBorder="1" applyAlignment="1" applyProtection="0">
      <alignment horizontal="center" vertical="center" wrapText="1"/>
    </xf>
    <xf numFmtId="9" fontId="26" fillId="7" borderId="10" applyNumberFormat="1" applyFont="1" applyFill="1" applyBorder="1" applyAlignment="1" applyProtection="0">
      <alignment horizontal="center" vertical="center"/>
    </xf>
    <xf numFmtId="9" fontId="26" fillId="7" borderId="50" applyNumberFormat="1" applyFont="1" applyFill="1" applyBorder="1" applyAlignment="1" applyProtection="0">
      <alignment horizontal="center" vertical="center"/>
    </xf>
    <xf numFmtId="9" fontId="26" fillId="3" borderId="82" applyNumberFormat="1" applyFont="1" applyFill="1" applyBorder="1" applyAlignment="1" applyProtection="0">
      <alignment horizontal="center" vertical="center"/>
    </xf>
    <xf numFmtId="49" fontId="28" fillId="3" borderId="83" applyNumberFormat="1" applyFont="1" applyFill="1" applyBorder="1" applyAlignment="1" applyProtection="0">
      <alignment horizontal="center" vertical="bottom"/>
    </xf>
    <xf numFmtId="9" fontId="28" fillId="3" borderId="103" applyNumberFormat="1" applyFont="1" applyFill="1" applyBorder="1" applyAlignment="1" applyProtection="0">
      <alignment horizontal="center" vertical="bottom"/>
    </xf>
    <xf numFmtId="65" fontId="28" fillId="3" borderId="104" applyNumberFormat="1" applyFont="1" applyFill="1" applyBorder="1" applyAlignment="1" applyProtection="0">
      <alignment horizontal="center" vertical="bottom"/>
    </xf>
    <xf numFmtId="65" fontId="28" fillId="3" borderId="105" applyNumberFormat="1" applyFont="1" applyFill="1" applyBorder="1" applyAlignment="1" applyProtection="0">
      <alignment horizontal="center" vertical="bottom"/>
    </xf>
    <xf numFmtId="0" fontId="28" fillId="3" borderId="80" applyNumberFormat="0" applyFont="1" applyFill="1" applyBorder="1" applyAlignment="1" applyProtection="0">
      <alignment vertical="center"/>
    </xf>
    <xf numFmtId="49" fontId="28" fillId="3" borderId="81" applyNumberFormat="1" applyFont="1" applyFill="1" applyBorder="1" applyAlignment="1" applyProtection="0">
      <alignment horizontal="center" vertical="bottom"/>
    </xf>
    <xf numFmtId="61" fontId="28" fillId="3" borderId="106" applyNumberFormat="1" applyFont="1" applyFill="1" applyBorder="1" applyAlignment="1" applyProtection="0">
      <alignment horizontal="center" vertical="bottom"/>
    </xf>
    <xf numFmtId="61" fontId="28" fillId="3" borderId="107" applyNumberFormat="1" applyFont="1" applyFill="1" applyBorder="1" applyAlignment="1" applyProtection="0">
      <alignment horizontal="center" vertical="bottom"/>
    </xf>
    <xf numFmtId="61" fontId="28" fillId="3" borderId="108" applyNumberFormat="1" applyFont="1" applyFill="1" applyBorder="1" applyAlignment="1" applyProtection="0">
      <alignment horizontal="center" vertical="bottom"/>
    </xf>
    <xf numFmtId="0" fontId="36" fillId="6" borderId="109" applyNumberFormat="0" applyFont="1" applyFill="1" applyBorder="1" applyAlignment="1" applyProtection="0">
      <alignment vertical="bottom"/>
    </xf>
    <xf numFmtId="49" fontId="28" fillId="3" borderId="110" applyNumberFormat="1" applyFont="1" applyFill="1" applyBorder="1" applyAlignment="1" applyProtection="0">
      <alignment horizontal="center" vertical="bottom"/>
    </xf>
    <xf numFmtId="61" fontId="28" fillId="3" borderId="111" applyNumberFormat="1" applyFont="1" applyFill="1" applyBorder="1" applyAlignment="1" applyProtection="0">
      <alignment horizontal="center" vertical="bottom"/>
    </xf>
    <xf numFmtId="61" fontId="28" fillId="3" borderId="112" applyNumberFormat="1" applyFont="1" applyFill="1" applyBorder="1" applyAlignment="1" applyProtection="0">
      <alignment horizontal="center" vertical="bottom"/>
    </xf>
    <xf numFmtId="61" fontId="28" fillId="3" borderId="113" applyNumberFormat="1" applyFont="1" applyFill="1" applyBorder="1" applyAlignment="1" applyProtection="0">
      <alignment horizontal="center" vertical="bottom"/>
    </xf>
    <xf numFmtId="49" fontId="108" fillId="3" borderId="13" applyNumberFormat="1" applyFont="1" applyFill="1" applyBorder="1" applyAlignment="1" applyProtection="0">
      <alignment horizontal="left" vertical="bottom"/>
    </xf>
    <xf numFmtId="0" fontId="28" fillId="3" borderId="32" applyNumberFormat="0" applyFont="1" applyFill="1" applyBorder="1" applyAlignment="1" applyProtection="0">
      <alignment vertical="bottom"/>
    </xf>
    <xf numFmtId="61" fontId="108" fillId="3" borderId="32" applyNumberFormat="1" applyFont="1" applyFill="1" applyBorder="1" applyAlignment="1" applyProtection="0">
      <alignment horizontal="center" vertical="bottom"/>
    </xf>
    <xf numFmtId="49" fontId="108" fillId="3" borderId="32" applyNumberFormat="1" applyFont="1" applyFill="1" applyBorder="1" applyAlignment="1" applyProtection="0">
      <alignment vertical="bottom"/>
    </xf>
    <xf numFmtId="61" fontId="28" fillId="3" borderId="32" applyNumberFormat="1" applyFont="1" applyFill="1" applyBorder="1" applyAlignment="1" applyProtection="0">
      <alignment horizontal="left" vertical="bottom"/>
    </xf>
    <xf numFmtId="49" fontId="56" fillId="3" borderId="13" applyNumberFormat="1" applyFont="1" applyFill="1" applyBorder="1" applyAlignment="1" applyProtection="0">
      <alignment horizontal="center" vertical="bottom"/>
    </xf>
    <xf numFmtId="0" fontId="36" fillId="3" borderId="13" applyNumberFormat="0" applyFont="1" applyFill="1" applyBorder="1" applyAlignment="1" applyProtection="0">
      <alignment vertical="bottom"/>
    </xf>
    <xf numFmtId="0" fontId="36" fillId="3" borderId="13" applyNumberFormat="0" applyFont="1" applyFill="1" applyBorder="1" applyAlignment="1" applyProtection="0">
      <alignment horizontal="center" vertical="bottom"/>
    </xf>
    <xf numFmtId="0" fontId="36" fillId="6" borderId="17" applyNumberFormat="0" applyFont="1" applyFill="1" applyBorder="1" applyAlignment="1" applyProtection="0">
      <alignment horizontal="center" vertical="bottom"/>
    </xf>
    <xf numFmtId="0" fontId="36" fillId="6" borderId="97" applyNumberFormat="0" applyFont="1" applyFill="1" applyBorder="1" applyAlignment="1" applyProtection="0">
      <alignment vertical="bottom"/>
    </xf>
    <xf numFmtId="0" fontId="36" fillId="6" borderId="34" applyNumberFormat="0" applyFont="1" applyFill="1" applyBorder="1" applyAlignment="1" applyProtection="0">
      <alignment horizontal="center" vertical="bottom"/>
    </xf>
    <xf numFmtId="0" fontId="30" fillId="6" borderId="61" applyNumberFormat="0" applyFont="1" applyFill="1" applyBorder="1" applyAlignment="1" applyProtection="0">
      <alignment vertical="bottom"/>
    </xf>
    <xf numFmtId="0" fontId="111" fillId="6" borderId="114" applyNumberFormat="0" applyFont="1" applyFill="1" applyBorder="1" applyAlignment="1" applyProtection="0">
      <alignment horizontal="center" vertical="bottom"/>
    </xf>
    <xf numFmtId="0" fontId="36" fillId="6" borderId="24" applyNumberFormat="0" applyFont="1" applyFill="1" applyBorder="1" applyAlignment="1" applyProtection="0">
      <alignment vertical="bottom"/>
    </xf>
    <xf numFmtId="0" fontId="0" applyNumberFormat="1" applyFont="1" applyFill="0" applyBorder="0" applyAlignment="1" applyProtection="0">
      <alignment vertical="bottom"/>
    </xf>
    <xf numFmtId="0" fontId="0" borderId="88" applyNumberFormat="0" applyFont="1" applyFill="0" applyBorder="1" applyAlignment="1" applyProtection="0">
      <alignment vertical="bottom"/>
    </xf>
    <xf numFmtId="0" fontId="112" fillId="3" borderId="89" applyNumberFormat="0" applyFont="1" applyFill="1" applyBorder="1" applyAlignment="1" applyProtection="0">
      <alignment vertical="center"/>
    </xf>
    <xf numFmtId="0" fontId="0" borderId="89" applyNumberFormat="0" applyFont="1" applyFill="0" applyBorder="1" applyAlignment="1" applyProtection="0">
      <alignment vertical="bottom"/>
    </xf>
    <xf numFmtId="49" fontId="8" fillId="3" borderId="89" applyNumberFormat="1" applyFont="1" applyFill="1" applyBorder="1" applyAlignment="1" applyProtection="0">
      <alignment vertical="center"/>
    </xf>
    <xf numFmtId="0" fontId="0" fillId="4" borderId="28" applyNumberFormat="0" applyFont="1" applyFill="1" applyBorder="1" applyAlignment="1" applyProtection="0">
      <alignment vertical="bottom"/>
    </xf>
    <xf numFmtId="0" fontId="113" fillId="4" borderId="26" applyNumberFormat="0" applyFont="1" applyFill="1" applyBorder="1" applyAlignment="1" applyProtection="0">
      <alignment vertical="center"/>
    </xf>
    <xf numFmtId="0" fontId="0" fillId="4" borderId="26" applyNumberFormat="0" applyFont="1" applyFill="1" applyBorder="1" applyAlignment="1" applyProtection="0">
      <alignment vertical="bottom"/>
    </xf>
    <xf numFmtId="0" fontId="0" fillId="5" borderId="31" applyNumberFormat="0" applyFont="1" applyFill="1" applyBorder="1" applyAlignment="1" applyProtection="0">
      <alignment vertical="bottom"/>
    </xf>
    <xf numFmtId="0" fontId="81" fillId="5" borderId="32" applyNumberFormat="0" applyFont="1" applyFill="1" applyBorder="1" applyAlignment="1" applyProtection="0">
      <alignment vertical="center"/>
    </xf>
    <xf numFmtId="0" fontId="0" fillId="5" borderId="32" applyNumberFormat="0" applyFont="1" applyFill="1" applyBorder="1" applyAlignment="1" applyProtection="0">
      <alignment vertical="bottom"/>
    </xf>
    <xf numFmtId="0" fontId="81" fillId="4" borderId="13" applyNumberFormat="0" applyFont="1" applyFill="1" applyBorder="1" applyAlignment="1" applyProtection="0">
      <alignment vertical="center"/>
    </xf>
    <xf numFmtId="0" fontId="0" fillId="4" borderId="14" applyNumberFormat="0" applyFont="1" applyFill="1" applyBorder="1" applyAlignment="1" applyProtection="0">
      <alignment vertical="bottom"/>
    </xf>
    <xf numFmtId="0" fontId="0" fillId="6" borderId="99" applyNumberFormat="0" applyFont="1" applyFill="1" applyBorder="1" applyAlignment="1" applyProtection="0">
      <alignment vertical="bottom"/>
    </xf>
    <xf numFmtId="0" fontId="0" fillId="2" borderId="33" applyNumberFormat="0" applyFont="1" applyFill="1" applyBorder="1" applyAlignment="1" applyProtection="0">
      <alignment vertical="bottom"/>
    </xf>
    <xf numFmtId="0" fontId="0" fillId="2" borderId="17" applyNumberFormat="0" applyFont="1" applyFill="1" applyBorder="1" applyAlignment="1" applyProtection="0">
      <alignment vertical="bottom"/>
    </xf>
    <xf numFmtId="0" fontId="0" fillId="2" borderId="22" applyNumberFormat="0" applyFont="1" applyFill="1" applyBorder="1" applyAlignment="1" applyProtection="0">
      <alignment vertical="bottom"/>
    </xf>
    <xf numFmtId="0" fontId="0" fillId="2" borderId="23" applyNumberFormat="0" applyFont="1" applyFill="1" applyBorder="1" applyAlignment="1" applyProtection="0">
      <alignment vertical="bottom"/>
    </xf>
    <xf numFmtId="0" fontId="0" applyNumberFormat="1" applyFont="1" applyFill="0" applyBorder="0" applyAlignment="1" applyProtection="0">
      <alignment vertical="bottom"/>
    </xf>
    <xf numFmtId="49" fontId="114" fillId="6" borderId="4" applyNumberFormat="1" applyFont="1" applyFill="1" applyBorder="1" applyAlignment="1" applyProtection="0">
      <alignment vertical="bottom"/>
    </xf>
    <xf numFmtId="0" fontId="0" fillId="6" borderId="7" applyNumberFormat="0" applyFont="1" applyFill="1" applyBorder="1" applyAlignment="1" applyProtection="0">
      <alignment vertical="bottom"/>
    </xf>
    <xf numFmtId="49" fontId="115" fillId="6" borderId="8" applyNumberFormat="1" applyFont="1" applyFill="1" applyBorder="1" applyAlignment="1" applyProtection="0">
      <alignment vertical="bottom"/>
    </xf>
    <xf numFmtId="0" fontId="0" fillId="6" borderId="22" applyNumberFormat="0" applyFont="1" applyFill="1" applyBorder="1" applyAlignment="1" applyProtection="0">
      <alignment vertical="bottom"/>
    </xf>
    <xf numFmtId="0" fontId="0" applyNumberFormat="1" applyFont="1" applyFill="0" applyBorder="0" applyAlignment="1" applyProtection="0">
      <alignment vertical="bottom"/>
    </xf>
    <xf numFmtId="14" fontId="0" fillId="3" borderId="115" applyNumberFormat="1" applyFont="1" applyFill="1" applyBorder="1" applyAlignment="1" applyProtection="0">
      <alignment vertical="bottom"/>
    </xf>
    <xf numFmtId="67" fontId="0" fillId="3" borderId="115" applyNumberFormat="1" applyFont="1" applyFill="1" applyBorder="1" applyAlignment="1" applyProtection="0">
      <alignment vertical="bottom"/>
    </xf>
    <xf numFmtId="49" fontId="0" fillId="3" borderId="115" applyNumberFormat="1" applyFont="1" applyFill="1" applyBorder="1" applyAlignment="1" applyProtection="0">
      <alignment vertical="bottom"/>
    </xf>
    <xf numFmtId="0" fontId="0" fillId="3" borderId="116" applyNumberFormat="0" applyFont="1" applyFill="1" applyBorder="1" applyAlignment="1" applyProtection="0">
      <alignment vertical="bottom"/>
    </xf>
    <xf numFmtId="67" fontId="19" fillId="3" borderId="116" applyNumberFormat="1" applyFont="1" applyFill="1" applyBorder="1" applyAlignment="1" applyProtection="0">
      <alignment horizontal="left" vertical="bottom"/>
    </xf>
    <xf numFmtId="59" fontId="0" fillId="3" borderId="85" applyNumberFormat="1" applyFont="1" applyFill="1" applyBorder="1" applyAlignment="1" applyProtection="0">
      <alignment vertical="bottom"/>
    </xf>
    <xf numFmtId="67" fontId="19" fillId="3" borderId="85" applyNumberFormat="1" applyFont="1" applyFill="1" applyBorder="1" applyAlignment="1" applyProtection="0">
      <alignment horizontal="left"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99"/>
      <rgbColor rgb="ffaaaaaa"/>
      <rgbColor rgb="ff993300"/>
      <rgbColor rgb="ffffffff"/>
      <rgbColor rgb="fffcf305"/>
      <rgbColor rgb="ff0000d4"/>
      <rgbColor rgb="ff651595"/>
      <rgbColor rgb="ff0066cc"/>
      <rgbColor rgb="ffff6600"/>
      <rgbColor rgb="ffdd0806"/>
      <rgbColor rgb="ffccccff"/>
      <rgbColor rgb="ffffffcc"/>
      <rgbColor rgb="ffffcc99"/>
      <rgbColor rgb="ffc0c0c0"/>
      <rgbColor rgb="ff006411"/>
      <rgbColor rgb="ffffff00"/>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s>

</file>

<file path=xl/drawings/_rels/drawing1.xml.rels><?xml version="1.0" encoding="UTF-8"?>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1.png"/><Relationship Id="rId3" Type="http://schemas.openxmlformats.org/officeDocument/2006/relationships/image" Target="../media/image2.png"/><Relationship Id="rId4" Type="http://schemas.openxmlformats.org/officeDocument/2006/relationships/image" Target="../media/image3.png"/></Relationships>

</file>

<file path=xl/drawings/_rels/drawing2.xml.rels><?xml version="1.0" encoding="UTF-8"?>
<Relationships xmlns="http://schemas.openxmlformats.org/package/2006/relationships"><Relationship Id="rId1" Type="http://schemas.openxmlformats.org/officeDocument/2006/relationships/image" Target="../media/image1.png"/></Relationships>

</file>

<file path=xl/drawings/_rels/drawing3.xml.rels><?xml version="1.0" encoding="UTF-8"?>
<Relationships xmlns="http://schemas.openxmlformats.org/package/2006/relationships"><Relationship Id="rId1" Type="http://schemas.openxmlformats.org/officeDocument/2006/relationships/image" Target="../media/image1.png"/></Relationships>

</file>

<file path=xl/drawings/_rels/drawing4.xml.rels><?xml version="1.0" encoding="UTF-8"?>
<Relationships xmlns="http://schemas.openxmlformats.org/package/2006/relationships"><Relationship Id="rId1" Type="http://schemas.openxmlformats.org/officeDocument/2006/relationships/image" Target="../media/image1.png"/></Relationships>

</file>

<file path=xl/drawings/_rels/drawing5.xml.rels><?xml version="1.0" encoding="UTF-8"?>
<Relationships xmlns="http://schemas.openxmlformats.org/package/2006/relationships"><Relationship Id="rId1" Type="http://schemas.openxmlformats.org/officeDocument/2006/relationships/image" Target="../media/image1.png"/></Relationships>

</file>

<file path=xl/drawings/_rels/drawing6.xml.rels><?xml version="1.0" encoding="UTF-8"?>
<Relationships xmlns="http://schemas.openxmlformats.org/package/2006/relationships"><Relationship Id="rId1" Type="http://schemas.openxmlformats.org/officeDocument/2006/relationships/image" Target="../media/image4.png"/><Relationship Id="rId2" Type="http://schemas.openxmlformats.org/officeDocument/2006/relationships/image" Target="../media/image5.png"/></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160734</xdr:colOff>
      <xdr:row>2</xdr:row>
      <xdr:rowOff>172500</xdr:rowOff>
    </xdr:from>
    <xdr:to>
      <xdr:col>13</xdr:col>
      <xdr:colOff>196453</xdr:colOff>
      <xdr:row>13</xdr:row>
      <xdr:rowOff>9750</xdr:rowOff>
    </xdr:to>
    <xdr:pic>
      <xdr:nvPicPr>
        <xdr:cNvPr id="2" name="P5151696crop resize" descr="P5151696crop resize"/>
        <xdr:cNvPicPr>
          <a:picLocks noChangeAspect="1"/>
        </xdr:cNvPicPr>
      </xdr:nvPicPr>
      <xdr:blipFill>
        <a:blip r:embed="rId1">
          <a:extLst/>
        </a:blip>
        <a:srcRect l="0" t="0" r="0" b="16799"/>
        <a:stretch>
          <a:fillRect/>
        </a:stretch>
      </xdr:blipFill>
      <xdr:spPr>
        <a:xfrm>
          <a:off x="160734" y="172500"/>
          <a:ext cx="8874920" cy="2513776"/>
        </a:xfrm>
        <a:prstGeom prst="rect">
          <a:avLst/>
        </a:prstGeom>
        <a:ln w="12700" cap="flat">
          <a:noFill/>
          <a:miter lim="400000"/>
        </a:ln>
        <a:effectLst/>
      </xdr:spPr>
    </xdr:pic>
    <xdr:clientData/>
  </xdr:twoCellAnchor>
  <xdr:twoCellAnchor>
    <xdr:from>
      <xdr:col>0</xdr:col>
      <xdr:colOff>190500</xdr:colOff>
      <xdr:row>2</xdr:row>
      <xdr:rowOff>122634</xdr:rowOff>
    </xdr:from>
    <xdr:to>
      <xdr:col>13</xdr:col>
      <xdr:colOff>171450</xdr:colOff>
      <xdr:row>7</xdr:row>
      <xdr:rowOff>67865</xdr:rowOff>
    </xdr:to>
    <xdr:sp>
      <xdr:nvSpPr>
        <xdr:cNvPr id="3" name="WordArt 10"/>
        <xdr:cNvSpPr txBox="1"/>
      </xdr:nvSpPr>
      <xdr:spPr>
        <a:xfrm>
          <a:off x="190500" y="122634"/>
          <a:ext cx="8820150" cy="1040607"/>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0" tIns="0" rIns="0" bIns="0" numCol="1" anchor="ctr">
          <a:normAutofit fontScale="100000" lnSpcReduction="0"/>
        </a:bodyPr>
        <a:lstStyle/>
        <a:p>
          <a:pPr marL="0" marR="0" indent="0" algn="ctr" defTabSz="649223" latinLnBrk="0">
            <a:lnSpc>
              <a:spcPct val="100000"/>
            </a:lnSpc>
            <a:spcBef>
              <a:spcPts val="0"/>
            </a:spcBef>
            <a:spcAft>
              <a:spcPts val="0"/>
            </a:spcAft>
            <a:buClrTx/>
            <a:buSzTx/>
            <a:buFontTx/>
            <a:buNone/>
            <a:tabLst/>
            <a:defRPr b="1" baseline="0" cap="none" i="0" spc="0" strike="noStrike" sz="5041" u="none">
              <a:ln w="4801">
                <a:solidFill>
                  <a:srgbClr val="000000"/>
                </a:solidFill>
              </a:ln>
              <a:solidFill>
                <a:srgbClr val="661695"/>
              </a:solidFill>
              <a:effectLst>
                <a:outerShdw sx="100000" sy="100000" kx="0" ky="0" algn="b" rotWithShape="0" blurRad="0" dist="38256" dir="2700000">
                  <a:srgbClr val="C0C0C0"/>
                </a:outerShdw>
              </a:effectLst>
              <a:uFillTx/>
              <a:latin typeface="Times New Roman"/>
              <a:ea typeface="Times New Roman"/>
              <a:cs typeface="Times New Roman"/>
              <a:sym typeface="Times New Roman"/>
            </a:defRPr>
          </a:pPr>
          <a:r>
            <a:rPr b="1" baseline="0" cap="none" i="0" spc="0" strike="noStrike" sz="5041" u="none">
              <a:ln w="4801">
                <a:solidFill>
                  <a:srgbClr val="000000"/>
                </a:solidFill>
              </a:ln>
              <a:solidFill>
                <a:srgbClr val="661695"/>
              </a:solidFill>
              <a:effectLst>
                <a:outerShdw sx="100000" sy="100000" kx="0" ky="0" algn="b" rotWithShape="0" blurRad="0" dist="38256" dir="2700000">
                  <a:srgbClr val="C0C0C0"/>
                </a:outerShdw>
              </a:effectLst>
              <a:uFillTx/>
              <a:latin typeface="Times New Roman"/>
              <a:ea typeface="Times New Roman"/>
              <a:cs typeface="Times New Roman"/>
              <a:sym typeface="Times New Roman"/>
            </a:rPr>
            <a:t>Estrus Synchronization Planner</a:t>
          </a:r>
        </a:p>
      </xdr:txBody>
    </xdr:sp>
    <xdr:clientData/>
  </xdr:twoCellAnchor>
  <xdr:twoCellAnchor>
    <xdr:from>
      <xdr:col>10</xdr:col>
      <xdr:colOff>251023</xdr:colOff>
      <xdr:row>17</xdr:row>
      <xdr:rowOff>182250</xdr:rowOff>
    </xdr:from>
    <xdr:to>
      <xdr:col>12</xdr:col>
      <xdr:colOff>607218</xdr:colOff>
      <xdr:row>23</xdr:row>
      <xdr:rowOff>95999</xdr:rowOff>
    </xdr:to>
    <xdr:pic>
      <xdr:nvPicPr>
        <xdr:cNvPr id="4" name="BeefReproTaskForceLogo.png" descr="BeefReproTaskForceLogo.png"/>
        <xdr:cNvPicPr>
          <a:picLocks noChangeAspect="1"/>
        </xdr:cNvPicPr>
      </xdr:nvPicPr>
      <xdr:blipFill>
        <a:blip r:embed="rId2">
          <a:extLst/>
        </a:blip>
        <a:stretch>
          <a:fillRect/>
        </a:stretch>
      </xdr:blipFill>
      <xdr:spPr>
        <a:xfrm>
          <a:off x="6880423" y="3696975"/>
          <a:ext cx="1753196" cy="1104375"/>
        </a:xfrm>
        <a:prstGeom prst="rect">
          <a:avLst/>
        </a:prstGeom>
        <a:ln w="12700" cap="flat">
          <a:noFill/>
          <a:miter lim="400000"/>
        </a:ln>
        <a:effectLst/>
      </xdr:spPr>
    </xdr:pic>
    <xdr:clientData/>
  </xdr:twoCellAnchor>
  <xdr:twoCellAnchor>
    <xdr:from>
      <xdr:col>7</xdr:col>
      <xdr:colOff>611187</xdr:colOff>
      <xdr:row>18</xdr:row>
      <xdr:rowOff>114975</xdr:rowOff>
    </xdr:from>
    <xdr:to>
      <xdr:col>10</xdr:col>
      <xdr:colOff>218281</xdr:colOff>
      <xdr:row>20</xdr:row>
      <xdr:rowOff>48037</xdr:rowOff>
    </xdr:to>
    <xdr:pic>
      <xdr:nvPicPr>
        <xdr:cNvPr id="5" name="ISEOredIBC.tif" descr="ISEOredIBC.tif"/>
        <xdr:cNvPicPr>
          <a:picLocks noChangeAspect="1"/>
        </xdr:cNvPicPr>
      </xdr:nvPicPr>
      <xdr:blipFill>
        <a:blip r:embed="rId3">
          <a:extLst/>
        </a:blip>
        <a:stretch>
          <a:fillRect/>
        </a:stretch>
      </xdr:blipFill>
      <xdr:spPr>
        <a:xfrm>
          <a:off x="5145087" y="3820200"/>
          <a:ext cx="1702595" cy="333113"/>
        </a:xfrm>
        <a:prstGeom prst="rect">
          <a:avLst/>
        </a:prstGeom>
        <a:ln w="12700" cap="flat">
          <a:noFill/>
          <a:miter lim="400000"/>
        </a:ln>
        <a:effectLst/>
      </xdr:spPr>
    </xdr:pic>
    <xdr:clientData/>
  </xdr:twoCellAnchor>
  <xdr:twoCellAnchor>
    <xdr:from>
      <xdr:col>7</xdr:col>
      <xdr:colOff>545703</xdr:colOff>
      <xdr:row>21</xdr:row>
      <xdr:rowOff>114975</xdr:rowOff>
    </xdr:from>
    <xdr:to>
      <xdr:col>9</xdr:col>
      <xdr:colOff>294679</xdr:colOff>
      <xdr:row>23</xdr:row>
      <xdr:rowOff>86250</xdr:rowOff>
    </xdr:to>
    <xdr:pic>
      <xdr:nvPicPr>
        <xdr:cNvPr id="6" name="image.png"/>
        <xdr:cNvPicPr>
          <a:picLocks noChangeAspect="1"/>
        </xdr:cNvPicPr>
      </xdr:nvPicPr>
      <xdr:blipFill>
        <a:blip r:embed="rId4">
          <a:extLst/>
        </a:blip>
        <a:stretch>
          <a:fillRect/>
        </a:stretch>
      </xdr:blipFill>
      <xdr:spPr>
        <a:xfrm>
          <a:off x="5079603" y="4420275"/>
          <a:ext cx="1145977" cy="371326"/>
        </a:xfrm>
        <a:prstGeom prst="rect">
          <a:avLst/>
        </a:prstGeom>
        <a:ln w="12700" cap="flat">
          <a:noFill/>
          <a:miter lim="400000"/>
        </a:ln>
        <a:effectLst/>
      </xdr:spPr>
    </xdr:pic>
    <xdr:clientData/>
  </xdr:twoCellAnchor>
</xdr:wsDr>
</file>

<file path=xl/drawings/drawing2.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76274</xdr:colOff>
      <xdr:row>0</xdr:row>
      <xdr:rowOff>66937</xdr:rowOff>
    </xdr:from>
    <xdr:to>
      <xdr:col>2</xdr:col>
      <xdr:colOff>239613</xdr:colOff>
      <xdr:row>5</xdr:row>
      <xdr:rowOff>307500</xdr:rowOff>
    </xdr:to>
    <xdr:pic>
      <xdr:nvPicPr>
        <xdr:cNvPr id="28" name="BeefReproTaskForceLogo.png" descr="BeefReproTaskForceLogo.png"/>
        <xdr:cNvPicPr>
          <a:picLocks noChangeAspect="1"/>
        </xdr:cNvPicPr>
      </xdr:nvPicPr>
      <xdr:blipFill>
        <a:blip r:embed="rId1">
          <a:extLst/>
        </a:blip>
        <a:stretch>
          <a:fillRect/>
        </a:stretch>
      </xdr:blipFill>
      <xdr:spPr>
        <a:xfrm>
          <a:off x="76274" y="66937"/>
          <a:ext cx="1611140" cy="1278789"/>
        </a:xfrm>
        <a:prstGeom prst="rect">
          <a:avLst/>
        </a:prstGeom>
        <a:ln w="12700" cap="flat">
          <a:noFill/>
          <a:miter lim="400000"/>
        </a:ln>
        <a:effectLst/>
      </xdr:spPr>
    </xdr:pic>
    <xdr:clientData/>
  </xdr:twoCellAnchor>
  <xdr:twoCellAnchor>
    <xdr:from>
      <xdr:col>6</xdr:col>
      <xdr:colOff>9523</xdr:colOff>
      <xdr:row>19</xdr:row>
      <xdr:rowOff>247650</xdr:rowOff>
    </xdr:from>
    <xdr:to>
      <xdr:col>6</xdr:col>
      <xdr:colOff>990598</xdr:colOff>
      <xdr:row>20</xdr:row>
      <xdr:rowOff>0</xdr:rowOff>
    </xdr:to>
    <xdr:sp>
      <xdr:nvSpPr>
        <xdr:cNvPr id="29" name="Rectangle 2"/>
        <xdr:cNvSpPr/>
      </xdr:nvSpPr>
      <xdr:spPr>
        <a:xfrm>
          <a:off x="5902323" y="4413250"/>
          <a:ext cx="981076" cy="209550"/>
        </a:xfrm>
        <a:prstGeom prst="rect">
          <a:avLst/>
        </a:prstGeom>
        <a:solidFill>
          <a:srgbClr val="DDD9C3"/>
        </a:solidFill>
        <a:ln w="25400" cap="flat">
          <a:solidFill>
            <a:srgbClr val="3A5E8A"/>
          </a:solidFill>
          <a:prstDash val="solid"/>
          <a:round/>
        </a:ln>
        <a:effectLst/>
      </xdr:spPr>
      <xdr:txBody>
        <a:bodyPr/>
        <a:lstStyle/>
        <a:p>
          <a:pPr/>
        </a:p>
      </xdr:txBody>
    </xdr:sp>
    <xdr:clientData/>
  </xdr:twoCellAnchor>
</xdr:wsDr>
</file>

<file path=xl/drawings/drawing3.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4</xdr:col>
      <xdr:colOff>207664</xdr:colOff>
      <xdr:row>4</xdr:row>
      <xdr:rowOff>38249</xdr:rowOff>
    </xdr:from>
    <xdr:to>
      <xdr:col>4</xdr:col>
      <xdr:colOff>915305</xdr:colOff>
      <xdr:row>7</xdr:row>
      <xdr:rowOff>114974</xdr:rowOff>
    </xdr:to>
    <xdr:pic>
      <xdr:nvPicPr>
        <xdr:cNvPr id="31" name="BeefReproTaskForceLogo.png" descr="BeefReproTaskForceLogo.png"/>
        <xdr:cNvPicPr>
          <a:picLocks noChangeAspect="1"/>
        </xdr:cNvPicPr>
      </xdr:nvPicPr>
      <xdr:blipFill>
        <a:blip r:embed="rId1">
          <a:extLst/>
        </a:blip>
        <a:stretch>
          <a:fillRect/>
        </a:stretch>
      </xdr:blipFill>
      <xdr:spPr>
        <a:xfrm>
          <a:off x="4055764" y="819299"/>
          <a:ext cx="707642" cy="648226"/>
        </a:xfrm>
        <a:prstGeom prst="rect">
          <a:avLst/>
        </a:prstGeom>
        <a:ln w="12700" cap="flat">
          <a:noFill/>
          <a:miter lim="400000"/>
        </a:ln>
        <a:effectLst/>
      </xdr:spPr>
    </xdr:pic>
    <xdr:clientData/>
  </xdr:twoCellAnchor>
</xdr:wsDr>
</file>

<file path=xl/drawings/drawing4.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4</xdr:col>
      <xdr:colOff>370532</xdr:colOff>
      <xdr:row>0</xdr:row>
      <xdr:rowOff>134662</xdr:rowOff>
    </xdr:from>
    <xdr:to>
      <xdr:col>5</xdr:col>
      <xdr:colOff>447526</xdr:colOff>
      <xdr:row>5</xdr:row>
      <xdr:rowOff>96075</xdr:rowOff>
    </xdr:to>
    <xdr:pic>
      <xdr:nvPicPr>
        <xdr:cNvPr id="33" name="BeefReproTaskForceLogo.png" descr="BeefReproTaskForceLogo.png"/>
        <xdr:cNvPicPr>
          <a:picLocks noChangeAspect="1"/>
        </xdr:cNvPicPr>
      </xdr:nvPicPr>
      <xdr:blipFill>
        <a:blip r:embed="rId1">
          <a:extLst/>
        </a:blip>
        <a:stretch>
          <a:fillRect/>
        </a:stretch>
      </xdr:blipFill>
      <xdr:spPr>
        <a:xfrm>
          <a:off x="4396432" y="134662"/>
          <a:ext cx="1308895" cy="961539"/>
        </a:xfrm>
        <a:prstGeom prst="rect">
          <a:avLst/>
        </a:prstGeom>
        <a:ln w="12700" cap="flat">
          <a:noFill/>
          <a:miter lim="400000"/>
        </a:ln>
        <a:effectLst/>
      </xdr:spPr>
    </xdr:pic>
    <xdr:clientData/>
  </xdr:twoCellAnchor>
  <xdr:twoCellAnchor>
    <xdr:from>
      <xdr:col>1</xdr:col>
      <xdr:colOff>54136</xdr:colOff>
      <xdr:row>19</xdr:row>
      <xdr:rowOff>68992</xdr:rowOff>
    </xdr:from>
    <xdr:to>
      <xdr:col>1</xdr:col>
      <xdr:colOff>239402</xdr:colOff>
      <xdr:row>20</xdr:row>
      <xdr:rowOff>50092</xdr:rowOff>
    </xdr:to>
    <xdr:sp>
      <xdr:nvSpPr>
        <xdr:cNvPr id="34" name="Shape 34"/>
        <xdr:cNvSpPr/>
      </xdr:nvSpPr>
      <xdr:spPr>
        <a:xfrm>
          <a:off x="384336" y="4143787"/>
          <a:ext cx="185267" cy="181126"/>
        </a:xfrm>
        <a:prstGeom prst="rect">
          <a:avLst/>
        </a:prstGeom>
        <a:solidFill>
          <a:srgbClr val="FFFFFF"/>
        </a:solidFill>
        <a:ln w="9525" cap="flat">
          <a:solidFill>
            <a:srgbClr val="000000"/>
          </a:solidFill>
          <a:prstDash val="solid"/>
          <a:round/>
        </a:ln>
        <a:effectLst/>
      </xdr:spPr>
      <xdr:txBody>
        <a:bodyPr/>
        <a:lstStyle/>
        <a:p>
          <a:pPr/>
        </a:p>
      </xdr:txBody>
    </xdr:sp>
    <xdr:clientData/>
  </xdr:twoCellAnchor>
  <xdr:twoCellAnchor>
    <xdr:from>
      <xdr:col>1</xdr:col>
      <xdr:colOff>54136</xdr:colOff>
      <xdr:row>23</xdr:row>
      <xdr:rowOff>68992</xdr:rowOff>
    </xdr:from>
    <xdr:to>
      <xdr:col>1</xdr:col>
      <xdr:colOff>239402</xdr:colOff>
      <xdr:row>24</xdr:row>
      <xdr:rowOff>50092</xdr:rowOff>
    </xdr:to>
    <xdr:sp>
      <xdr:nvSpPr>
        <xdr:cNvPr id="35" name="Shape 35"/>
        <xdr:cNvSpPr/>
      </xdr:nvSpPr>
      <xdr:spPr>
        <a:xfrm>
          <a:off x="384336" y="4943887"/>
          <a:ext cx="185267" cy="181126"/>
        </a:xfrm>
        <a:prstGeom prst="rect">
          <a:avLst/>
        </a:prstGeom>
        <a:solidFill>
          <a:srgbClr val="FFFFFF"/>
        </a:solidFill>
        <a:ln w="9525" cap="flat">
          <a:solidFill>
            <a:srgbClr val="000000"/>
          </a:solidFill>
          <a:prstDash val="solid"/>
          <a:round/>
        </a:ln>
        <a:effectLst/>
      </xdr:spPr>
      <xdr:txBody>
        <a:bodyPr/>
        <a:lstStyle/>
        <a:p>
          <a:pPr/>
        </a:p>
      </xdr:txBody>
    </xdr:sp>
    <xdr:clientData/>
  </xdr:twoCellAnchor>
  <xdr:twoCellAnchor>
    <xdr:from>
      <xdr:col>1</xdr:col>
      <xdr:colOff>43308</xdr:colOff>
      <xdr:row>27</xdr:row>
      <xdr:rowOff>68992</xdr:rowOff>
    </xdr:from>
    <xdr:to>
      <xdr:col>1</xdr:col>
      <xdr:colOff>228575</xdr:colOff>
      <xdr:row>28</xdr:row>
      <xdr:rowOff>50092</xdr:rowOff>
    </xdr:to>
    <xdr:sp>
      <xdr:nvSpPr>
        <xdr:cNvPr id="36" name="Shape 36"/>
        <xdr:cNvSpPr/>
      </xdr:nvSpPr>
      <xdr:spPr>
        <a:xfrm>
          <a:off x="373508" y="5743987"/>
          <a:ext cx="185268" cy="181126"/>
        </a:xfrm>
        <a:prstGeom prst="rect">
          <a:avLst/>
        </a:prstGeom>
        <a:solidFill>
          <a:srgbClr val="FFFFFF"/>
        </a:solidFill>
        <a:ln w="9525" cap="flat">
          <a:solidFill>
            <a:srgbClr val="000000"/>
          </a:solidFill>
          <a:prstDash val="solid"/>
          <a:round/>
        </a:ln>
        <a:effectLst/>
      </xdr:spPr>
      <xdr:txBody>
        <a:bodyPr/>
        <a:lstStyle/>
        <a:p>
          <a:pPr/>
        </a:p>
      </xdr:txBody>
    </xdr:sp>
    <xdr:clientData/>
  </xdr:twoCellAnchor>
  <xdr:twoCellAnchor>
    <xdr:from>
      <xdr:col>1</xdr:col>
      <xdr:colOff>43308</xdr:colOff>
      <xdr:row>31</xdr:row>
      <xdr:rowOff>68992</xdr:rowOff>
    </xdr:from>
    <xdr:to>
      <xdr:col>1</xdr:col>
      <xdr:colOff>228575</xdr:colOff>
      <xdr:row>32</xdr:row>
      <xdr:rowOff>50092</xdr:rowOff>
    </xdr:to>
    <xdr:sp>
      <xdr:nvSpPr>
        <xdr:cNvPr id="37" name="Shape 37"/>
        <xdr:cNvSpPr/>
      </xdr:nvSpPr>
      <xdr:spPr>
        <a:xfrm>
          <a:off x="373508" y="6544087"/>
          <a:ext cx="185268" cy="181126"/>
        </a:xfrm>
        <a:prstGeom prst="rect">
          <a:avLst/>
        </a:prstGeom>
        <a:solidFill>
          <a:srgbClr val="FFFFFF"/>
        </a:solidFill>
        <a:ln w="9525" cap="flat">
          <a:solidFill>
            <a:srgbClr val="000000"/>
          </a:solidFill>
          <a:prstDash val="solid"/>
          <a:round/>
        </a:ln>
        <a:effectLst/>
      </xdr:spPr>
      <xdr:txBody>
        <a:bodyPr/>
        <a:lstStyle/>
        <a:p>
          <a:pPr/>
        </a:p>
      </xdr:txBody>
    </xdr:sp>
    <xdr:clientData/>
  </xdr:twoCellAnchor>
  <xdr:twoCellAnchor>
    <xdr:from>
      <xdr:col>1</xdr:col>
      <xdr:colOff>43308</xdr:colOff>
      <xdr:row>35</xdr:row>
      <xdr:rowOff>59542</xdr:rowOff>
    </xdr:from>
    <xdr:to>
      <xdr:col>1</xdr:col>
      <xdr:colOff>228575</xdr:colOff>
      <xdr:row>36</xdr:row>
      <xdr:rowOff>39854</xdr:rowOff>
    </xdr:to>
    <xdr:sp>
      <xdr:nvSpPr>
        <xdr:cNvPr id="38" name="Shape 38"/>
        <xdr:cNvSpPr/>
      </xdr:nvSpPr>
      <xdr:spPr>
        <a:xfrm>
          <a:off x="373508" y="7334737"/>
          <a:ext cx="185268" cy="180338"/>
        </a:xfrm>
        <a:prstGeom prst="rect">
          <a:avLst/>
        </a:prstGeom>
        <a:solidFill>
          <a:srgbClr val="FFFFFF"/>
        </a:solidFill>
        <a:ln w="9525" cap="flat">
          <a:solidFill>
            <a:srgbClr val="000000"/>
          </a:solidFill>
          <a:prstDash val="solid"/>
          <a:round/>
        </a:ln>
        <a:effectLst/>
      </xdr:spPr>
      <xdr:txBody>
        <a:bodyPr/>
        <a:lstStyle/>
        <a:p>
          <a:pPr/>
        </a:p>
      </xdr:txBody>
    </xdr:sp>
    <xdr:clientData/>
  </xdr:twoCellAnchor>
  <xdr:twoCellAnchor>
    <xdr:from>
      <xdr:col>1</xdr:col>
      <xdr:colOff>43308</xdr:colOff>
      <xdr:row>39</xdr:row>
      <xdr:rowOff>68992</xdr:rowOff>
    </xdr:from>
    <xdr:to>
      <xdr:col>1</xdr:col>
      <xdr:colOff>228575</xdr:colOff>
      <xdr:row>40</xdr:row>
      <xdr:rowOff>50092</xdr:rowOff>
    </xdr:to>
    <xdr:sp>
      <xdr:nvSpPr>
        <xdr:cNvPr id="39" name="Shape 39"/>
        <xdr:cNvSpPr/>
      </xdr:nvSpPr>
      <xdr:spPr>
        <a:xfrm>
          <a:off x="373508" y="8144287"/>
          <a:ext cx="185268" cy="181126"/>
        </a:xfrm>
        <a:prstGeom prst="rect">
          <a:avLst/>
        </a:prstGeom>
        <a:solidFill>
          <a:srgbClr val="FFFFFF"/>
        </a:solidFill>
        <a:ln w="9525" cap="flat">
          <a:solidFill>
            <a:srgbClr val="000000"/>
          </a:solidFill>
          <a:prstDash val="solid"/>
          <a:round/>
        </a:ln>
        <a:effectLst/>
      </xdr:spPr>
      <xdr:txBody>
        <a:bodyPr/>
        <a:lstStyle/>
        <a:p>
          <a:pPr/>
        </a:p>
      </xdr:txBody>
    </xdr:sp>
    <xdr:clientData/>
  </xdr:twoCellAnchor>
  <xdr:twoCellAnchor>
    <xdr:from>
      <xdr:col>1</xdr:col>
      <xdr:colOff>43308</xdr:colOff>
      <xdr:row>43</xdr:row>
      <xdr:rowOff>59542</xdr:rowOff>
    </xdr:from>
    <xdr:to>
      <xdr:col>1</xdr:col>
      <xdr:colOff>228575</xdr:colOff>
      <xdr:row>44</xdr:row>
      <xdr:rowOff>39854</xdr:rowOff>
    </xdr:to>
    <xdr:sp>
      <xdr:nvSpPr>
        <xdr:cNvPr id="40" name="Shape 40"/>
        <xdr:cNvSpPr/>
      </xdr:nvSpPr>
      <xdr:spPr>
        <a:xfrm>
          <a:off x="373508" y="8934937"/>
          <a:ext cx="185268" cy="180338"/>
        </a:xfrm>
        <a:prstGeom prst="rect">
          <a:avLst/>
        </a:prstGeom>
        <a:solidFill>
          <a:srgbClr val="FFFFFF"/>
        </a:solidFill>
        <a:ln w="9525" cap="flat">
          <a:solidFill>
            <a:srgbClr val="000000"/>
          </a:solidFill>
          <a:prstDash val="solid"/>
          <a:round/>
        </a:ln>
        <a:effectLst/>
      </xdr:spPr>
      <xdr:txBody>
        <a:bodyPr/>
        <a:lstStyle/>
        <a:p>
          <a:pPr/>
        </a:p>
      </xdr:txBody>
    </xdr:sp>
    <xdr:clientData/>
  </xdr:twoCellAnchor>
  <xdr:twoCellAnchor>
    <xdr:from>
      <xdr:col>1</xdr:col>
      <xdr:colOff>32481</xdr:colOff>
      <xdr:row>47</xdr:row>
      <xdr:rowOff>59542</xdr:rowOff>
    </xdr:from>
    <xdr:to>
      <xdr:col>1</xdr:col>
      <xdr:colOff>217747</xdr:colOff>
      <xdr:row>48</xdr:row>
      <xdr:rowOff>39854</xdr:rowOff>
    </xdr:to>
    <xdr:sp>
      <xdr:nvSpPr>
        <xdr:cNvPr id="41" name="Shape 41"/>
        <xdr:cNvSpPr/>
      </xdr:nvSpPr>
      <xdr:spPr>
        <a:xfrm>
          <a:off x="362681" y="9735037"/>
          <a:ext cx="185267" cy="180338"/>
        </a:xfrm>
        <a:prstGeom prst="rect">
          <a:avLst/>
        </a:prstGeom>
        <a:solidFill>
          <a:srgbClr val="FFFFFF"/>
        </a:solidFill>
        <a:ln w="9525" cap="flat">
          <a:solidFill>
            <a:srgbClr val="000000"/>
          </a:solidFill>
          <a:prstDash val="solid"/>
          <a:round/>
        </a:ln>
        <a:effectLst/>
      </xdr:spPr>
      <xdr:txBody>
        <a:bodyPr/>
        <a:lstStyle/>
        <a:p>
          <a:pPr/>
        </a:p>
      </xdr:txBody>
    </xdr:sp>
    <xdr:clientData/>
  </xdr:twoCellAnchor>
  <xdr:twoCellAnchor>
    <xdr:from>
      <xdr:col>1</xdr:col>
      <xdr:colOff>32481</xdr:colOff>
      <xdr:row>51</xdr:row>
      <xdr:rowOff>50092</xdr:rowOff>
    </xdr:from>
    <xdr:to>
      <xdr:col>1</xdr:col>
      <xdr:colOff>217747</xdr:colOff>
      <xdr:row>52</xdr:row>
      <xdr:rowOff>30404</xdr:rowOff>
    </xdr:to>
    <xdr:sp>
      <xdr:nvSpPr>
        <xdr:cNvPr id="42" name="Shape 42"/>
        <xdr:cNvSpPr/>
      </xdr:nvSpPr>
      <xdr:spPr>
        <a:xfrm>
          <a:off x="362681" y="10525687"/>
          <a:ext cx="185267" cy="180338"/>
        </a:xfrm>
        <a:prstGeom prst="rect">
          <a:avLst/>
        </a:prstGeom>
        <a:solidFill>
          <a:srgbClr val="FFFFFF"/>
        </a:solidFill>
        <a:ln w="9525" cap="flat">
          <a:solidFill>
            <a:srgbClr val="000000"/>
          </a:solidFill>
          <a:prstDash val="solid"/>
          <a:round/>
        </a:ln>
        <a:effectLst/>
      </xdr:spPr>
      <xdr:txBody>
        <a:bodyPr/>
        <a:lstStyle/>
        <a:p>
          <a:pPr/>
        </a:p>
      </xdr:txBody>
    </xdr:sp>
    <xdr:clientData/>
  </xdr:twoCellAnchor>
</xdr:wsDr>
</file>

<file path=xl/drawings/drawing5.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266700</xdr:colOff>
      <xdr:row>20</xdr:row>
      <xdr:rowOff>133826</xdr:rowOff>
    </xdr:from>
    <xdr:to>
      <xdr:col>8</xdr:col>
      <xdr:colOff>314325</xdr:colOff>
      <xdr:row>38</xdr:row>
      <xdr:rowOff>56673</xdr:rowOff>
    </xdr:to>
    <xdr:sp>
      <xdr:nvSpPr>
        <xdr:cNvPr id="44" name="Text Box 1"/>
        <xdr:cNvSpPr txBox="1"/>
      </xdr:nvSpPr>
      <xdr:spPr>
        <a:xfrm>
          <a:off x="266700" y="4918551"/>
          <a:ext cx="5432425" cy="3351848"/>
        </a:xfrm>
        <a:prstGeom prst="rect">
          <a:avLst/>
        </a:prstGeom>
        <a:solidFill>
          <a:srgbClr val="FFFFFF"/>
        </a:solidFill>
        <a:ln w="9525" cap="flat">
          <a:solidFill>
            <a:srgbClr val="000000"/>
          </a:solidFill>
          <a:prstDash val="solid"/>
          <a:miter lim="800000"/>
        </a:ln>
        <a:effectLst/>
        <a:extLst>
          <a:ext uri="{C572A759-6A51-4108-AA02-DFA0A04FC94B}">
            <ma14:wrappingTextBoxFlag xmlns:ma14="http://schemas.microsoft.com/office/mac/drawingml/2011/main" val="1"/>
          </a:ext>
        </a:extLst>
      </xdr:spPr>
      <xdr:txBody>
        <a:bodyPr wrap="square" lIns="0" tIns="0" rIns="0" bIns="0" numCol="1" anchor="t">
          <a:noAutofit/>
        </a:bodyPr>
        <a:lstStyle/>
        <a:p>
          <a:pPr marL="0" marR="0" indent="0" algn="l" defTabSz="914400" latinLnBrk="0">
            <a:lnSpc>
              <a:spcPct val="100000"/>
            </a:lnSpc>
            <a:spcBef>
              <a:spcPts val="0"/>
            </a:spcBef>
            <a:spcAft>
              <a:spcPts val="0"/>
            </a:spcAft>
            <a:buClrTx/>
            <a:buSzTx/>
            <a:buFontTx/>
            <a:buNone/>
            <a:tabLst/>
            <a:defRPr b="1" baseline="0" cap="none" i="0" spc="0" strike="noStrike" sz="1000" u="none">
              <a:ln>
                <a:noFill/>
              </a:ln>
              <a:solidFill>
                <a:srgbClr val="000000"/>
              </a:solidFill>
              <a:uFillTx/>
              <a:latin typeface="Arial"/>
              <a:ea typeface="Arial"/>
              <a:cs typeface="Arial"/>
              <a:sym typeface="Arial"/>
            </a:defRPr>
          </a:pPr>
          <a:r>
            <a:rPr b="1" baseline="0" cap="none" i="0" spc="0" strike="noStrike" sz="1000" u="none">
              <a:ln>
                <a:noFill/>
              </a:ln>
              <a:solidFill>
                <a:srgbClr val="000000"/>
              </a:solidFill>
              <a:uFillTx/>
              <a:latin typeface="Arial"/>
              <a:ea typeface="Arial"/>
              <a:cs typeface="Arial"/>
              <a:sym typeface="Arial"/>
            </a:rPr>
            <a:t>Operation:</a:t>
          </a:r>
          <a:endParaRPr b="1" baseline="0" cap="none" i="0" spc="0" strike="noStrike" sz="1000" u="none">
            <a:ln>
              <a:noFill/>
            </a:ln>
            <a:solidFill>
              <a:srgbClr val="000000"/>
            </a:solidFill>
            <a:uFillTx/>
            <a:latin typeface="Arial"/>
            <a:ea typeface="Arial"/>
            <a:cs typeface="Arial"/>
            <a:sym typeface="Arial"/>
          </a:endParaRPr>
        </a:p>
        <a:p>
          <a:pPr marL="0" marR="0" indent="0" algn="l" defTabSz="914400" latinLnBrk="0">
            <a:lnSpc>
              <a:spcPct val="100000"/>
            </a:lnSpc>
            <a:spcBef>
              <a:spcPts val="0"/>
            </a:spcBef>
            <a:spcAft>
              <a:spcPts val="0"/>
            </a:spcAft>
            <a:buClrTx/>
            <a:buSzTx/>
            <a:buFontTx/>
            <a:buNone/>
            <a:tabLst/>
            <a:defRPr b="0" baseline="0" cap="none" i="0" spc="0" strike="noStrike" sz="1000" u="none">
              <a:ln>
                <a:noFill/>
              </a:ln>
              <a:solidFill>
                <a:srgbClr val="000000"/>
              </a:solidFill>
              <a:uFillTx/>
              <a:latin typeface="Arial"/>
              <a:ea typeface="Arial"/>
              <a:cs typeface="Arial"/>
              <a:sym typeface="Arial"/>
            </a:defRPr>
          </a:pPr>
          <a:r>
            <a:rPr b="0" baseline="0" cap="none" i="0" spc="0" strike="noStrike" sz="1000" u="none">
              <a:ln>
                <a:noFill/>
              </a:ln>
              <a:solidFill>
                <a:srgbClr val="000000"/>
              </a:solidFill>
              <a:uFillTx/>
              <a:latin typeface="Arial"/>
              <a:ea typeface="Arial"/>
              <a:cs typeface="Arial"/>
              <a:sym typeface="Arial"/>
            </a:rPr>
            <a:t>  1.  Provide inputs regarding when you wish to start breeding animals.</a:t>
          </a:r>
          <a:endParaRPr b="0" baseline="0" cap="none" i="0" spc="0" strike="noStrike" sz="1000" u="none">
            <a:ln>
              <a:noFill/>
            </a:ln>
            <a:solidFill>
              <a:srgbClr val="000000"/>
            </a:solidFill>
            <a:uFillTx/>
            <a:latin typeface="Arial"/>
            <a:ea typeface="Arial"/>
            <a:cs typeface="Arial"/>
            <a:sym typeface="Arial"/>
          </a:endParaRPr>
        </a:p>
        <a:p>
          <a:pPr marL="0" marR="0" indent="0" algn="l" defTabSz="914400" latinLnBrk="0">
            <a:lnSpc>
              <a:spcPct val="100000"/>
            </a:lnSpc>
            <a:spcBef>
              <a:spcPts val="0"/>
            </a:spcBef>
            <a:spcAft>
              <a:spcPts val="0"/>
            </a:spcAft>
            <a:buClrTx/>
            <a:buSzTx/>
            <a:buFontTx/>
            <a:buNone/>
            <a:tabLst/>
            <a:defRPr b="0" baseline="0" cap="none" i="0" spc="0" strike="noStrike" sz="1000" u="none">
              <a:ln>
                <a:noFill/>
              </a:ln>
              <a:solidFill>
                <a:srgbClr val="000000"/>
              </a:solidFill>
              <a:uFillTx/>
              <a:latin typeface="Arial"/>
              <a:ea typeface="Arial"/>
              <a:cs typeface="Arial"/>
              <a:sym typeface="Arial"/>
            </a:defRPr>
          </a:pPr>
          <a:endParaRPr b="0" baseline="0" cap="none" i="0" spc="0" strike="noStrike" sz="1000" u="none">
            <a:ln>
              <a:noFill/>
            </a:ln>
            <a:solidFill>
              <a:srgbClr val="000000"/>
            </a:solidFill>
            <a:uFillTx/>
            <a:latin typeface="Arial"/>
            <a:ea typeface="Arial"/>
            <a:cs typeface="Arial"/>
            <a:sym typeface="Arial"/>
          </a:endParaRPr>
        </a:p>
        <a:p>
          <a:pPr marL="0" marR="0" indent="0" algn="l" defTabSz="914400" latinLnBrk="0">
            <a:lnSpc>
              <a:spcPct val="100000"/>
            </a:lnSpc>
            <a:spcBef>
              <a:spcPts val="0"/>
            </a:spcBef>
            <a:spcAft>
              <a:spcPts val="0"/>
            </a:spcAft>
            <a:buClrTx/>
            <a:buSzTx/>
            <a:buFontTx/>
            <a:buNone/>
            <a:tabLst/>
            <a:defRPr b="0" baseline="0" cap="none" i="0" spc="0" strike="noStrike" sz="1000" u="none">
              <a:ln>
                <a:noFill/>
              </a:ln>
              <a:solidFill>
                <a:srgbClr val="000000"/>
              </a:solidFill>
              <a:uFillTx/>
              <a:latin typeface="Arial"/>
              <a:ea typeface="Arial"/>
              <a:cs typeface="Arial"/>
              <a:sym typeface="Arial"/>
            </a:defRPr>
          </a:pPr>
          <a:r>
            <a:rPr b="0" baseline="0" cap="none" i="0" spc="0" strike="noStrike" sz="1000" u="none">
              <a:ln>
                <a:noFill/>
              </a:ln>
              <a:solidFill>
                <a:srgbClr val="000000"/>
              </a:solidFill>
              <a:uFillTx/>
              <a:latin typeface="Arial"/>
              <a:ea typeface="Arial"/>
              <a:cs typeface="Arial"/>
              <a:sym typeface="Arial"/>
            </a:rPr>
            <a:t>  2.  Select a estrus detection - insemination category;  Estrus detection and then AI, Fixed-time AI (no estrus detection), or a combination of Estrus-AI followed by a cleanup AI on remaining animals not yet bred.</a:t>
          </a:r>
          <a:endParaRPr b="0" baseline="0" cap="none" i="0" spc="0" strike="noStrike" sz="1000" u="none">
            <a:ln>
              <a:noFill/>
            </a:ln>
            <a:solidFill>
              <a:srgbClr val="000000"/>
            </a:solidFill>
            <a:uFillTx/>
            <a:latin typeface="Arial"/>
            <a:ea typeface="Arial"/>
            <a:cs typeface="Arial"/>
            <a:sym typeface="Arial"/>
          </a:endParaRPr>
        </a:p>
        <a:p>
          <a:pPr marL="0" marR="0" indent="0" algn="l" defTabSz="914400" latinLnBrk="0">
            <a:lnSpc>
              <a:spcPct val="100000"/>
            </a:lnSpc>
            <a:spcBef>
              <a:spcPts val="0"/>
            </a:spcBef>
            <a:spcAft>
              <a:spcPts val="0"/>
            </a:spcAft>
            <a:buClrTx/>
            <a:buSzTx/>
            <a:buFontTx/>
            <a:buNone/>
            <a:tabLst/>
            <a:defRPr b="0" baseline="0" cap="none" i="0" spc="0" strike="noStrike" sz="1000" u="none">
              <a:ln>
                <a:noFill/>
              </a:ln>
              <a:solidFill>
                <a:srgbClr val="000000"/>
              </a:solidFill>
              <a:uFillTx/>
              <a:latin typeface="Arial"/>
              <a:ea typeface="Arial"/>
              <a:cs typeface="Arial"/>
              <a:sym typeface="Arial"/>
            </a:defRPr>
          </a:pPr>
          <a:endParaRPr b="0" baseline="0" cap="none" i="0" spc="0" strike="noStrike" sz="1000" u="none">
            <a:ln>
              <a:noFill/>
            </a:ln>
            <a:solidFill>
              <a:srgbClr val="000000"/>
            </a:solidFill>
            <a:uFillTx/>
            <a:latin typeface="Arial"/>
            <a:ea typeface="Arial"/>
            <a:cs typeface="Arial"/>
            <a:sym typeface="Arial"/>
          </a:endParaRPr>
        </a:p>
        <a:p>
          <a:pPr marL="0" marR="0" indent="0" algn="l" defTabSz="914400" latinLnBrk="0">
            <a:lnSpc>
              <a:spcPct val="100000"/>
            </a:lnSpc>
            <a:spcBef>
              <a:spcPts val="0"/>
            </a:spcBef>
            <a:spcAft>
              <a:spcPts val="0"/>
            </a:spcAft>
            <a:buClrTx/>
            <a:buSzTx/>
            <a:buFontTx/>
            <a:buNone/>
            <a:tabLst/>
            <a:defRPr b="0" baseline="0" cap="none" i="0" spc="0" strike="noStrike" sz="1000" u="none">
              <a:ln>
                <a:noFill/>
              </a:ln>
              <a:solidFill>
                <a:srgbClr val="000000"/>
              </a:solidFill>
              <a:uFillTx/>
              <a:latin typeface="Arial"/>
              <a:ea typeface="Arial"/>
              <a:cs typeface="Arial"/>
              <a:sym typeface="Arial"/>
            </a:defRPr>
          </a:pPr>
          <a:r>
            <a:rPr b="0" baseline="0" cap="none" i="0" spc="0" strike="noStrike" sz="1000" u="none">
              <a:ln>
                <a:noFill/>
              </a:ln>
              <a:solidFill>
                <a:srgbClr val="000000"/>
              </a:solidFill>
              <a:uFillTx/>
              <a:latin typeface="Arial"/>
              <a:ea typeface="Arial"/>
              <a:cs typeface="Arial"/>
              <a:sym typeface="Arial"/>
            </a:rPr>
            <a:t>  3.  Select the system that you wish to use from the Cow System list or the Heifer System list.</a:t>
          </a:r>
          <a:endParaRPr b="0" baseline="0" cap="none" i="0" spc="0" strike="noStrike" sz="1000" u="none">
            <a:ln>
              <a:noFill/>
            </a:ln>
            <a:solidFill>
              <a:srgbClr val="000000"/>
            </a:solidFill>
            <a:uFillTx/>
            <a:latin typeface="Arial"/>
            <a:ea typeface="Arial"/>
            <a:cs typeface="Arial"/>
            <a:sym typeface="Arial"/>
          </a:endParaRPr>
        </a:p>
        <a:p>
          <a:pPr marL="0" marR="0" indent="0" algn="l" defTabSz="914400" latinLnBrk="0">
            <a:lnSpc>
              <a:spcPct val="100000"/>
            </a:lnSpc>
            <a:spcBef>
              <a:spcPts val="0"/>
            </a:spcBef>
            <a:spcAft>
              <a:spcPts val="0"/>
            </a:spcAft>
            <a:buClrTx/>
            <a:buSzTx/>
            <a:buFontTx/>
            <a:buNone/>
            <a:tabLst/>
            <a:defRPr b="0" baseline="0" cap="none" i="0" spc="0" strike="noStrike" sz="1000" u="none">
              <a:ln>
                <a:noFill/>
              </a:ln>
              <a:solidFill>
                <a:srgbClr val="000000"/>
              </a:solidFill>
              <a:uFillTx/>
              <a:latin typeface="Arial"/>
              <a:ea typeface="Arial"/>
              <a:cs typeface="Arial"/>
              <a:sym typeface="Arial"/>
            </a:defRPr>
          </a:pPr>
          <a:endParaRPr b="0" baseline="0" cap="none" i="0" spc="0" strike="noStrike" sz="1000" u="none">
            <a:ln>
              <a:noFill/>
            </a:ln>
            <a:solidFill>
              <a:srgbClr val="000000"/>
            </a:solidFill>
            <a:uFillTx/>
            <a:latin typeface="Arial"/>
            <a:ea typeface="Arial"/>
            <a:cs typeface="Arial"/>
            <a:sym typeface="Arial"/>
          </a:endParaRPr>
        </a:p>
        <a:p>
          <a:pPr marL="0" marR="0" indent="0" algn="l" defTabSz="914400" latinLnBrk="0">
            <a:lnSpc>
              <a:spcPct val="100000"/>
            </a:lnSpc>
            <a:spcBef>
              <a:spcPts val="0"/>
            </a:spcBef>
            <a:spcAft>
              <a:spcPts val="0"/>
            </a:spcAft>
            <a:buClrTx/>
            <a:buSzTx/>
            <a:buFontTx/>
            <a:buNone/>
            <a:tabLst/>
            <a:defRPr b="0" baseline="0" cap="none" i="0" spc="0" strike="noStrike" sz="1000" u="none">
              <a:ln>
                <a:noFill/>
              </a:ln>
              <a:solidFill>
                <a:srgbClr val="000000"/>
              </a:solidFill>
              <a:uFillTx/>
              <a:latin typeface="Arial"/>
              <a:ea typeface="Arial"/>
              <a:cs typeface="Arial"/>
              <a:sym typeface="Arial"/>
            </a:defRPr>
          </a:pPr>
          <a:r>
            <a:rPr b="0" baseline="0" cap="none" i="0" spc="0" strike="noStrike" sz="1000" u="none">
              <a:ln>
                <a:noFill/>
              </a:ln>
              <a:solidFill>
                <a:srgbClr val="000000"/>
              </a:solidFill>
              <a:uFillTx/>
              <a:latin typeface="Arial"/>
              <a:ea typeface="Arial"/>
              <a:cs typeface="Arial"/>
              <a:sym typeface="Arial"/>
            </a:rPr>
            <a:t>  4.  Fill in the appropriate information regarding the drug costs, head count, etc.</a:t>
          </a:r>
          <a:endParaRPr b="0" baseline="0" cap="none" i="0" spc="0" strike="noStrike" sz="1000" u="none">
            <a:ln>
              <a:noFill/>
            </a:ln>
            <a:solidFill>
              <a:srgbClr val="000000"/>
            </a:solidFill>
            <a:uFillTx/>
            <a:latin typeface="Arial"/>
            <a:ea typeface="Arial"/>
            <a:cs typeface="Arial"/>
            <a:sym typeface="Arial"/>
          </a:endParaRPr>
        </a:p>
        <a:p>
          <a:pPr marL="0" marR="0" indent="0" algn="l" defTabSz="914400" latinLnBrk="0">
            <a:lnSpc>
              <a:spcPct val="100000"/>
            </a:lnSpc>
            <a:spcBef>
              <a:spcPts val="0"/>
            </a:spcBef>
            <a:spcAft>
              <a:spcPts val="0"/>
            </a:spcAft>
            <a:buClrTx/>
            <a:buSzTx/>
            <a:buFontTx/>
            <a:buNone/>
            <a:tabLst/>
            <a:defRPr b="0" baseline="0" cap="none" i="0" spc="0" strike="noStrike" sz="1000" u="none">
              <a:ln>
                <a:noFill/>
              </a:ln>
              <a:solidFill>
                <a:srgbClr val="000000"/>
              </a:solidFill>
              <a:uFillTx/>
              <a:latin typeface="Arial"/>
              <a:ea typeface="Arial"/>
              <a:cs typeface="Arial"/>
              <a:sym typeface="Arial"/>
            </a:defRPr>
          </a:pPr>
          <a:endParaRPr b="0" baseline="0" cap="none" i="0" spc="0" strike="noStrike" sz="1000" u="none">
            <a:ln>
              <a:noFill/>
            </a:ln>
            <a:solidFill>
              <a:srgbClr val="000000"/>
            </a:solidFill>
            <a:uFillTx/>
            <a:latin typeface="Arial"/>
            <a:ea typeface="Arial"/>
            <a:cs typeface="Arial"/>
            <a:sym typeface="Arial"/>
          </a:endParaRPr>
        </a:p>
        <a:p>
          <a:pPr marL="0" marR="0" indent="0" algn="l" defTabSz="914400" latinLnBrk="0">
            <a:lnSpc>
              <a:spcPct val="100000"/>
            </a:lnSpc>
            <a:spcBef>
              <a:spcPts val="0"/>
            </a:spcBef>
            <a:spcAft>
              <a:spcPts val="0"/>
            </a:spcAft>
            <a:buClrTx/>
            <a:buSzTx/>
            <a:buFontTx/>
            <a:buNone/>
            <a:tabLst/>
            <a:defRPr b="0" baseline="0" cap="none" i="0" spc="0" strike="noStrike" sz="1000" u="none">
              <a:ln>
                <a:noFill/>
              </a:ln>
              <a:solidFill>
                <a:srgbClr val="000000"/>
              </a:solidFill>
              <a:uFillTx/>
              <a:latin typeface="Arial"/>
              <a:ea typeface="Arial"/>
              <a:cs typeface="Arial"/>
              <a:sym typeface="Arial"/>
            </a:defRPr>
          </a:pPr>
          <a:r>
            <a:rPr b="0" baseline="0" cap="none" i="0" spc="0" strike="noStrike" sz="1000" u="none">
              <a:ln>
                <a:noFill/>
              </a:ln>
              <a:solidFill>
                <a:srgbClr val="000000"/>
              </a:solidFill>
              <a:uFillTx/>
              <a:latin typeface="Arial"/>
              <a:ea typeface="Arial"/>
              <a:cs typeface="Arial"/>
              <a:sym typeface="Arial"/>
            </a:rPr>
            <a:t>  5.  Go to the PRINT OUT or CALENDAR page and select print from the Excel menu above to get a paper printout.</a:t>
          </a:r>
        </a:p>
      </xdr:txBody>
    </xdr:sp>
    <xdr:clientData/>
  </xdr:twoCellAnchor>
  <xdr:twoCellAnchor>
    <xdr:from>
      <xdr:col>9</xdr:col>
      <xdr:colOff>0</xdr:colOff>
      <xdr:row>4</xdr:row>
      <xdr:rowOff>79057</xdr:rowOff>
    </xdr:from>
    <xdr:to>
      <xdr:col>12</xdr:col>
      <xdr:colOff>552450</xdr:colOff>
      <xdr:row>11</xdr:row>
      <xdr:rowOff>6667</xdr:rowOff>
    </xdr:to>
    <xdr:sp>
      <xdr:nvSpPr>
        <xdr:cNvPr id="45" name="Text Box 2"/>
        <xdr:cNvSpPr txBox="1"/>
      </xdr:nvSpPr>
      <xdr:spPr>
        <a:xfrm>
          <a:off x="6057900" y="1806257"/>
          <a:ext cx="2571750" cy="1270636"/>
        </a:xfrm>
        <a:prstGeom prst="rect">
          <a:avLst/>
        </a:prstGeom>
        <a:solidFill>
          <a:srgbClr val="FFFFFF"/>
        </a:solidFill>
        <a:ln w="9525" cap="flat">
          <a:solidFill>
            <a:srgbClr val="000000"/>
          </a:solidFill>
          <a:prstDash val="solid"/>
          <a:miter lim="800000"/>
        </a:ln>
        <a:effectLst/>
        <a:extLst>
          <a:ext uri="{C572A759-6A51-4108-AA02-DFA0A04FC94B}">
            <ma14:wrappingTextBoxFlag xmlns:ma14="http://schemas.microsoft.com/office/mac/drawingml/2011/main" val="1"/>
          </a:ext>
        </a:extLst>
      </xdr:spPr>
      <xdr:txBody>
        <a:bodyPr wrap="square" lIns="0" tIns="0" rIns="0" bIns="0" numCol="1" anchor="t">
          <a:noAutofit/>
        </a:bodyPr>
        <a:lstStyle/>
        <a:p>
          <a:pPr marL="0" marR="0" indent="0" algn="l" defTabSz="914400" latinLnBrk="0">
            <a:lnSpc>
              <a:spcPct val="100000"/>
            </a:lnSpc>
            <a:spcBef>
              <a:spcPts val="0"/>
            </a:spcBef>
            <a:spcAft>
              <a:spcPts val="0"/>
            </a:spcAft>
            <a:buClrTx/>
            <a:buSzTx/>
            <a:buFontTx/>
            <a:buNone/>
            <a:tabLst/>
            <a:defRPr b="1" baseline="0" cap="none" i="0" spc="0" strike="noStrike" sz="1000" u="none">
              <a:ln>
                <a:noFill/>
              </a:ln>
              <a:solidFill>
                <a:srgbClr val="000000"/>
              </a:solidFill>
              <a:uFillTx/>
              <a:latin typeface="Arial"/>
              <a:ea typeface="Arial"/>
              <a:cs typeface="Arial"/>
              <a:sym typeface="Arial"/>
            </a:defRPr>
          </a:pPr>
          <a:r>
            <a:rPr b="1" baseline="0" cap="none" i="0" spc="0" strike="noStrike" sz="1000" u="none">
              <a:ln>
                <a:noFill/>
              </a:ln>
              <a:solidFill>
                <a:srgbClr val="000000"/>
              </a:solidFill>
              <a:uFillTx/>
              <a:latin typeface="Arial"/>
              <a:ea typeface="Arial"/>
              <a:cs typeface="Arial"/>
              <a:sym typeface="Arial"/>
            </a:rPr>
            <a:t>Date to start breeding: </a:t>
          </a:r>
          <a:endParaRPr b="1" baseline="0" cap="none" i="0" spc="0" strike="noStrike" sz="1000" u="none">
            <a:ln>
              <a:noFill/>
            </a:ln>
            <a:solidFill>
              <a:srgbClr val="000000"/>
            </a:solidFill>
            <a:uFillTx/>
            <a:latin typeface="Arial"/>
            <a:ea typeface="Arial"/>
            <a:cs typeface="Arial"/>
            <a:sym typeface="Arial"/>
          </a:endParaRPr>
        </a:p>
        <a:p>
          <a:pPr marL="0" marR="0" indent="0" algn="l" defTabSz="914400" latinLnBrk="0">
            <a:lnSpc>
              <a:spcPct val="100000"/>
            </a:lnSpc>
            <a:spcBef>
              <a:spcPts val="0"/>
            </a:spcBef>
            <a:spcAft>
              <a:spcPts val="0"/>
            </a:spcAft>
            <a:buClrTx/>
            <a:buSzTx/>
            <a:buFontTx/>
            <a:buNone/>
            <a:tabLst/>
            <a:defRPr b="0" baseline="0" cap="none" i="0" spc="0" strike="noStrike" sz="1000" u="none">
              <a:ln>
                <a:noFill/>
              </a:ln>
              <a:solidFill>
                <a:srgbClr val="000000"/>
              </a:solidFill>
              <a:uFillTx/>
              <a:latin typeface="Arial"/>
              <a:ea typeface="Arial"/>
              <a:cs typeface="Arial"/>
              <a:sym typeface="Arial"/>
            </a:defRPr>
          </a:pPr>
          <a:r>
            <a:rPr b="0" baseline="0" cap="none" i="0" spc="0" strike="noStrike" sz="1000" u="none">
              <a:ln>
                <a:noFill/>
              </a:ln>
              <a:solidFill>
                <a:srgbClr val="000000"/>
              </a:solidFill>
              <a:uFillTx/>
              <a:latin typeface="Arial"/>
              <a:ea typeface="Arial"/>
              <a:cs typeface="Arial"/>
              <a:sym typeface="Arial"/>
            </a:rPr>
            <a:t>This is the day that you wish to start heat detection and AI.  In the case of Fixed-Time AI, this is the day that you wish to inseminate the whole group.</a:t>
          </a:r>
        </a:p>
      </xdr:txBody>
    </xdr:sp>
    <xdr:clientData/>
  </xdr:twoCellAnchor>
  <xdr:twoCellAnchor>
    <xdr:from>
      <xdr:col>9</xdr:col>
      <xdr:colOff>0</xdr:colOff>
      <xdr:row>10</xdr:row>
      <xdr:rowOff>174783</xdr:rowOff>
    </xdr:from>
    <xdr:to>
      <xdr:col>12</xdr:col>
      <xdr:colOff>533400</xdr:colOff>
      <xdr:row>21</xdr:row>
      <xdr:rowOff>72866</xdr:rowOff>
    </xdr:to>
    <xdr:sp>
      <xdr:nvSpPr>
        <xdr:cNvPr id="46" name="Text Box 3"/>
        <xdr:cNvSpPr txBox="1"/>
      </xdr:nvSpPr>
      <xdr:spPr>
        <a:xfrm>
          <a:off x="6057900" y="3054508"/>
          <a:ext cx="2552700" cy="1993584"/>
        </a:xfrm>
        <a:prstGeom prst="rect">
          <a:avLst/>
        </a:prstGeom>
        <a:solidFill>
          <a:srgbClr val="FFFFFF"/>
        </a:solidFill>
        <a:ln w="9525" cap="flat">
          <a:solidFill>
            <a:srgbClr val="000000"/>
          </a:solidFill>
          <a:prstDash val="solid"/>
          <a:miter lim="800000"/>
        </a:ln>
        <a:effectLst/>
        <a:extLst>
          <a:ext uri="{C572A759-6A51-4108-AA02-DFA0A04FC94B}">
            <ma14:wrappingTextBoxFlag xmlns:ma14="http://schemas.microsoft.com/office/mac/drawingml/2011/main" val="1"/>
          </a:ext>
        </a:extLst>
      </xdr:spPr>
      <xdr:txBody>
        <a:bodyPr wrap="square" lIns="0" tIns="0" rIns="0" bIns="0" numCol="1" anchor="t">
          <a:noAutofit/>
        </a:bodyPr>
        <a:lstStyle/>
        <a:p>
          <a:pPr marL="0" marR="0" indent="0" algn="l" defTabSz="914400" latinLnBrk="0">
            <a:lnSpc>
              <a:spcPct val="100000"/>
            </a:lnSpc>
            <a:spcBef>
              <a:spcPts val="0"/>
            </a:spcBef>
            <a:spcAft>
              <a:spcPts val="0"/>
            </a:spcAft>
            <a:buClrTx/>
            <a:buSzTx/>
            <a:buFontTx/>
            <a:buNone/>
            <a:tabLst/>
            <a:defRPr b="1" baseline="0" cap="none" i="0" spc="0" strike="noStrike" sz="1000" u="none">
              <a:ln>
                <a:noFill/>
              </a:ln>
              <a:solidFill>
                <a:srgbClr val="000000"/>
              </a:solidFill>
              <a:uFillTx/>
              <a:latin typeface="Arial"/>
              <a:ea typeface="Arial"/>
              <a:cs typeface="Arial"/>
              <a:sym typeface="Arial"/>
            </a:defRPr>
          </a:pPr>
          <a:r>
            <a:rPr b="1" baseline="0" cap="none" i="0" spc="0" strike="noStrike" sz="1000" u="none">
              <a:ln>
                <a:noFill/>
              </a:ln>
              <a:solidFill>
                <a:srgbClr val="000000"/>
              </a:solidFill>
              <a:uFillTx/>
              <a:latin typeface="Arial"/>
              <a:ea typeface="Arial"/>
              <a:cs typeface="Arial"/>
              <a:sym typeface="Arial"/>
            </a:rPr>
            <a:t>Time of day you want to breed:</a:t>
          </a:r>
          <a:r>
            <a:rPr b="0" baseline="0" cap="none" i="0" spc="0" strike="noStrike" sz="1000" u="none">
              <a:ln>
                <a:noFill/>
              </a:ln>
              <a:solidFill>
                <a:srgbClr val="000000"/>
              </a:solidFill>
              <a:uFillTx/>
              <a:latin typeface="Arial"/>
              <a:ea typeface="Arial"/>
              <a:cs typeface="Arial"/>
              <a:sym typeface="Arial"/>
            </a:rPr>
            <a:t> </a:t>
          </a:r>
          <a:endParaRPr b="1" baseline="0" cap="none" i="0" spc="0" strike="noStrike" sz="1000" u="none">
            <a:ln>
              <a:noFill/>
            </a:ln>
            <a:solidFill>
              <a:srgbClr val="000000"/>
            </a:solidFill>
            <a:uFillTx/>
            <a:latin typeface="Arial"/>
            <a:ea typeface="Arial"/>
            <a:cs typeface="Arial"/>
            <a:sym typeface="Arial"/>
          </a:endParaRPr>
        </a:p>
        <a:p>
          <a:pPr marL="0" marR="0" indent="0" algn="l" defTabSz="914400" latinLnBrk="0">
            <a:lnSpc>
              <a:spcPct val="100000"/>
            </a:lnSpc>
            <a:spcBef>
              <a:spcPts val="0"/>
            </a:spcBef>
            <a:spcAft>
              <a:spcPts val="0"/>
            </a:spcAft>
            <a:buClrTx/>
            <a:buSzTx/>
            <a:buFontTx/>
            <a:buNone/>
            <a:tabLst/>
            <a:defRPr b="0" baseline="0" cap="none" i="0" spc="0" strike="noStrike" sz="1000" u="none">
              <a:ln>
                <a:noFill/>
              </a:ln>
              <a:solidFill>
                <a:srgbClr val="000000"/>
              </a:solidFill>
              <a:uFillTx/>
              <a:latin typeface="Arial"/>
              <a:ea typeface="Arial"/>
              <a:cs typeface="Arial"/>
              <a:sym typeface="Arial"/>
            </a:defRPr>
          </a:pPr>
          <a:r>
            <a:rPr b="0" baseline="0" cap="none" i="0" spc="0" strike="noStrike" sz="1000" u="none">
              <a:ln>
                <a:noFill/>
              </a:ln>
              <a:solidFill>
                <a:srgbClr val="000000"/>
              </a:solidFill>
              <a:uFillTx/>
              <a:latin typeface="Arial"/>
              <a:ea typeface="Arial"/>
              <a:cs typeface="Arial"/>
              <a:sym typeface="Arial"/>
            </a:rPr>
            <a:t>Used with Clean-up AI and Fixed Time AI systems.  The average number of hours between PG administration and insemination should be close to the suggested interval.  Strive for the recommended interval +/- 2 hours.</a:t>
          </a:r>
        </a:p>
      </xdr:txBody>
    </xdr:sp>
    <xdr:clientData/>
  </xdr:twoCellAnchor>
  <xdr:twoCellAnchor>
    <xdr:from>
      <xdr:col>8</xdr:col>
      <xdr:colOff>663575</xdr:colOff>
      <xdr:row>20</xdr:row>
      <xdr:rowOff>105251</xdr:rowOff>
    </xdr:from>
    <xdr:to>
      <xdr:col>12</xdr:col>
      <xdr:colOff>504825</xdr:colOff>
      <xdr:row>38</xdr:row>
      <xdr:rowOff>28098</xdr:rowOff>
    </xdr:to>
    <xdr:sp>
      <xdr:nvSpPr>
        <xdr:cNvPr id="47" name="Text Box 4"/>
        <xdr:cNvSpPr txBox="1"/>
      </xdr:nvSpPr>
      <xdr:spPr>
        <a:xfrm>
          <a:off x="6048375" y="4889976"/>
          <a:ext cx="2533650" cy="3351848"/>
        </a:xfrm>
        <a:prstGeom prst="rect">
          <a:avLst/>
        </a:prstGeom>
        <a:solidFill>
          <a:srgbClr val="FFFFFF"/>
        </a:solidFill>
        <a:ln w="9525" cap="flat">
          <a:solidFill>
            <a:srgbClr val="000000"/>
          </a:solidFill>
          <a:prstDash val="solid"/>
          <a:miter lim="800000"/>
        </a:ln>
        <a:effectLst/>
        <a:extLst>
          <a:ext uri="{C572A759-6A51-4108-AA02-DFA0A04FC94B}">
            <ma14:wrappingTextBoxFlag xmlns:ma14="http://schemas.microsoft.com/office/mac/drawingml/2011/main" val="1"/>
          </a:ext>
        </a:extLst>
      </xdr:spPr>
      <xdr:txBody>
        <a:bodyPr wrap="square" lIns="0" tIns="0" rIns="0" bIns="0" numCol="1" anchor="t">
          <a:noAutofit/>
        </a:bodyPr>
        <a:lstStyle/>
        <a:p>
          <a:pPr marL="0" marR="0" indent="0" algn="l" defTabSz="914400" latinLnBrk="0">
            <a:lnSpc>
              <a:spcPct val="100000"/>
            </a:lnSpc>
            <a:spcBef>
              <a:spcPts val="0"/>
            </a:spcBef>
            <a:spcAft>
              <a:spcPts val="0"/>
            </a:spcAft>
            <a:buClrTx/>
            <a:buSzTx/>
            <a:buFontTx/>
            <a:buNone/>
            <a:tabLst/>
            <a:defRPr b="1" baseline="0" cap="none" i="0" spc="0" strike="noStrike" sz="1000" u="none">
              <a:ln>
                <a:noFill/>
              </a:ln>
              <a:solidFill>
                <a:srgbClr val="000000"/>
              </a:solidFill>
              <a:uFillTx/>
              <a:latin typeface="Arial"/>
              <a:ea typeface="Arial"/>
              <a:cs typeface="Arial"/>
              <a:sym typeface="Arial"/>
            </a:defRPr>
          </a:pPr>
          <a:r>
            <a:rPr b="1" baseline="0" cap="none" i="0" spc="0" strike="noStrike" sz="1000" u="none">
              <a:ln>
                <a:noFill/>
              </a:ln>
              <a:solidFill>
                <a:srgbClr val="000000"/>
              </a:solidFill>
              <a:uFillTx/>
              <a:latin typeface="Arial"/>
              <a:ea typeface="Arial"/>
              <a:cs typeface="Arial"/>
              <a:sym typeface="Arial"/>
            </a:rPr>
            <a:t>Detection-Insemination type: </a:t>
          </a:r>
          <a:endParaRPr b="1" baseline="0" cap="none" i="0" spc="0" strike="noStrike" sz="1000" u="none">
            <a:ln>
              <a:noFill/>
            </a:ln>
            <a:solidFill>
              <a:srgbClr val="000000"/>
            </a:solidFill>
            <a:uFillTx/>
            <a:latin typeface="Arial"/>
            <a:ea typeface="Arial"/>
            <a:cs typeface="Arial"/>
            <a:sym typeface="Arial"/>
          </a:endParaRPr>
        </a:p>
        <a:p>
          <a:pPr marL="0" marR="0" indent="0" algn="l" defTabSz="914400" latinLnBrk="0">
            <a:lnSpc>
              <a:spcPct val="100000"/>
            </a:lnSpc>
            <a:spcBef>
              <a:spcPts val="0"/>
            </a:spcBef>
            <a:spcAft>
              <a:spcPts val="0"/>
            </a:spcAft>
            <a:buClrTx/>
            <a:buSzTx/>
            <a:buFontTx/>
            <a:buNone/>
            <a:tabLst/>
            <a:defRPr b="0" baseline="0" cap="none" i="0" spc="0" strike="noStrike" sz="1000" u="none">
              <a:ln>
                <a:noFill/>
              </a:ln>
              <a:solidFill>
                <a:srgbClr val="000000"/>
              </a:solidFill>
              <a:uFillTx/>
              <a:latin typeface="Arial"/>
              <a:ea typeface="Arial"/>
              <a:cs typeface="Arial"/>
              <a:sym typeface="Arial"/>
            </a:defRPr>
          </a:pPr>
          <a:r>
            <a:rPr b="0" baseline="0" cap="none" i="0" spc="0" strike="noStrike" sz="1000" u="none">
              <a:ln>
                <a:noFill/>
              </a:ln>
              <a:solidFill>
                <a:srgbClr val="000000"/>
              </a:solidFill>
              <a:uFillTx/>
              <a:latin typeface="Arial"/>
              <a:ea typeface="Arial"/>
              <a:cs typeface="Arial"/>
              <a:sym typeface="Arial"/>
            </a:rPr>
            <a:t>1 =Estrus AI.  Inseminate animals 6-12 hours after standing heat is first observed.</a:t>
          </a:r>
          <a:endParaRPr b="0" baseline="0" cap="none" i="0" spc="0" strike="noStrike" sz="1000" u="none">
            <a:ln>
              <a:noFill/>
            </a:ln>
            <a:solidFill>
              <a:srgbClr val="000000"/>
            </a:solidFill>
            <a:uFillTx/>
            <a:latin typeface="Arial"/>
            <a:ea typeface="Arial"/>
            <a:cs typeface="Arial"/>
            <a:sym typeface="Arial"/>
          </a:endParaRPr>
        </a:p>
        <a:p>
          <a:pPr marL="0" marR="0" indent="0" algn="l" defTabSz="914400" latinLnBrk="0">
            <a:lnSpc>
              <a:spcPct val="100000"/>
            </a:lnSpc>
            <a:spcBef>
              <a:spcPts val="0"/>
            </a:spcBef>
            <a:spcAft>
              <a:spcPts val="0"/>
            </a:spcAft>
            <a:buClrTx/>
            <a:buSzTx/>
            <a:buFontTx/>
            <a:buNone/>
            <a:tabLst/>
            <a:defRPr b="0" baseline="0" cap="none" i="0" spc="0" strike="noStrike" sz="1000" u="none">
              <a:ln>
                <a:noFill/>
              </a:ln>
              <a:solidFill>
                <a:srgbClr val="000000"/>
              </a:solidFill>
              <a:uFillTx/>
              <a:latin typeface="Arial"/>
              <a:ea typeface="Arial"/>
              <a:cs typeface="Arial"/>
              <a:sym typeface="Arial"/>
            </a:defRPr>
          </a:pPr>
          <a:endParaRPr b="0" baseline="0" cap="none" i="0" spc="0" strike="noStrike" sz="1000" u="none">
            <a:ln>
              <a:noFill/>
            </a:ln>
            <a:solidFill>
              <a:srgbClr val="000000"/>
            </a:solidFill>
            <a:uFillTx/>
            <a:latin typeface="Arial"/>
            <a:ea typeface="Arial"/>
            <a:cs typeface="Arial"/>
            <a:sym typeface="Arial"/>
          </a:endParaRPr>
        </a:p>
        <a:p>
          <a:pPr marL="0" marR="0" indent="0" algn="l" defTabSz="914400" latinLnBrk="0">
            <a:lnSpc>
              <a:spcPct val="100000"/>
            </a:lnSpc>
            <a:spcBef>
              <a:spcPts val="0"/>
            </a:spcBef>
            <a:spcAft>
              <a:spcPts val="0"/>
            </a:spcAft>
            <a:buClrTx/>
            <a:buSzTx/>
            <a:buFontTx/>
            <a:buNone/>
            <a:tabLst/>
            <a:defRPr b="0" baseline="0" cap="none" i="0" spc="0" strike="noStrike" sz="1000" u="none">
              <a:ln>
                <a:noFill/>
              </a:ln>
              <a:solidFill>
                <a:srgbClr val="000000"/>
              </a:solidFill>
              <a:uFillTx/>
              <a:latin typeface="Arial"/>
              <a:ea typeface="Arial"/>
              <a:cs typeface="Arial"/>
              <a:sym typeface="Arial"/>
            </a:defRPr>
          </a:pPr>
          <a:r>
            <a:rPr b="0" baseline="0" cap="none" i="0" spc="0" strike="noStrike" sz="1000" u="none">
              <a:ln>
                <a:noFill/>
              </a:ln>
              <a:solidFill>
                <a:srgbClr val="000000"/>
              </a:solidFill>
              <a:uFillTx/>
              <a:latin typeface="Arial"/>
              <a:ea typeface="Arial"/>
              <a:cs typeface="Arial"/>
              <a:sym typeface="Arial"/>
            </a:rPr>
            <a:t> 2 = Estrus AI &amp;Clean-up AI = insemination following observed estrus up to time point prescribed in schedule, followed by mass insemination of animals not previously detected in heat.</a:t>
          </a:r>
          <a:endParaRPr b="0" baseline="0" cap="none" i="0" spc="0" strike="noStrike" sz="1000" u="none">
            <a:ln>
              <a:noFill/>
            </a:ln>
            <a:solidFill>
              <a:srgbClr val="000000"/>
            </a:solidFill>
            <a:uFillTx/>
            <a:latin typeface="Arial"/>
            <a:ea typeface="Arial"/>
            <a:cs typeface="Arial"/>
            <a:sym typeface="Arial"/>
          </a:endParaRPr>
        </a:p>
        <a:p>
          <a:pPr marL="0" marR="0" indent="0" algn="l" defTabSz="914400" latinLnBrk="0">
            <a:lnSpc>
              <a:spcPct val="100000"/>
            </a:lnSpc>
            <a:spcBef>
              <a:spcPts val="0"/>
            </a:spcBef>
            <a:spcAft>
              <a:spcPts val="0"/>
            </a:spcAft>
            <a:buClrTx/>
            <a:buSzTx/>
            <a:buFontTx/>
            <a:buNone/>
            <a:tabLst/>
            <a:defRPr b="0" baseline="0" cap="none" i="0" spc="0" strike="noStrike" sz="1000" u="none">
              <a:ln>
                <a:noFill/>
              </a:ln>
              <a:solidFill>
                <a:srgbClr val="000000"/>
              </a:solidFill>
              <a:uFillTx/>
              <a:latin typeface="Arial"/>
              <a:ea typeface="Arial"/>
              <a:cs typeface="Arial"/>
              <a:sym typeface="Arial"/>
            </a:defRPr>
          </a:pPr>
          <a:endParaRPr b="0" baseline="0" cap="none" i="0" spc="0" strike="noStrike" sz="1000" u="none">
            <a:ln>
              <a:noFill/>
            </a:ln>
            <a:solidFill>
              <a:srgbClr val="000000"/>
            </a:solidFill>
            <a:uFillTx/>
            <a:latin typeface="Arial"/>
            <a:ea typeface="Arial"/>
            <a:cs typeface="Arial"/>
            <a:sym typeface="Arial"/>
          </a:endParaRPr>
        </a:p>
        <a:p>
          <a:pPr marL="0" marR="0" indent="0" algn="l" defTabSz="914400" latinLnBrk="0">
            <a:lnSpc>
              <a:spcPct val="100000"/>
            </a:lnSpc>
            <a:spcBef>
              <a:spcPts val="0"/>
            </a:spcBef>
            <a:spcAft>
              <a:spcPts val="0"/>
            </a:spcAft>
            <a:buClrTx/>
            <a:buSzTx/>
            <a:buFontTx/>
            <a:buNone/>
            <a:tabLst/>
            <a:defRPr b="0" baseline="0" cap="none" i="0" spc="0" strike="noStrike" sz="1000" u="none">
              <a:ln>
                <a:noFill/>
              </a:ln>
              <a:solidFill>
                <a:srgbClr val="000000"/>
              </a:solidFill>
              <a:uFillTx/>
              <a:latin typeface="Arial"/>
              <a:ea typeface="Arial"/>
              <a:cs typeface="Arial"/>
              <a:sym typeface="Arial"/>
            </a:defRPr>
          </a:pPr>
          <a:r>
            <a:rPr b="0" baseline="0" cap="none" i="0" spc="0" strike="noStrike" sz="1000" u="none">
              <a:ln>
                <a:noFill/>
              </a:ln>
              <a:solidFill>
                <a:srgbClr val="000000"/>
              </a:solidFill>
              <a:uFillTx/>
              <a:latin typeface="Arial"/>
              <a:ea typeface="Arial"/>
              <a:cs typeface="Arial"/>
              <a:sym typeface="Arial"/>
            </a:rPr>
            <a:t> 3 = Fixed -Time AI = a single, mass insemination of all animals.  No heat detection used.</a:t>
          </a:r>
        </a:p>
      </xdr:txBody>
    </xdr:sp>
    <xdr:clientData/>
  </xdr:twoCellAnchor>
  <xdr:twoCellAnchor>
    <xdr:from>
      <xdr:col>0</xdr:col>
      <xdr:colOff>257175</xdr:colOff>
      <xdr:row>2</xdr:row>
      <xdr:rowOff>101520</xdr:rowOff>
    </xdr:from>
    <xdr:to>
      <xdr:col>8</xdr:col>
      <xdr:colOff>295275</xdr:colOff>
      <xdr:row>22</xdr:row>
      <xdr:rowOff>63579</xdr:rowOff>
    </xdr:to>
    <xdr:sp>
      <xdr:nvSpPr>
        <xdr:cNvPr id="48" name="Text Box 7"/>
        <xdr:cNvSpPr txBox="1"/>
      </xdr:nvSpPr>
      <xdr:spPr>
        <a:xfrm>
          <a:off x="257175" y="1625520"/>
          <a:ext cx="5422900" cy="3603785"/>
        </a:xfrm>
        <a:prstGeom prst="rect">
          <a:avLst/>
        </a:prstGeom>
        <a:solidFill>
          <a:srgbClr val="FFFFFF"/>
        </a:solidFill>
        <a:ln w="9525" cap="flat">
          <a:solidFill>
            <a:srgbClr val="000000"/>
          </a:solidFill>
          <a:prstDash val="solid"/>
          <a:miter lim="800000"/>
        </a:ln>
        <a:effectLst/>
        <a:extLst>
          <a:ext uri="{C572A759-6A51-4108-AA02-DFA0A04FC94B}">
            <ma14:wrappingTextBoxFlag xmlns:ma14="http://schemas.microsoft.com/office/mac/drawingml/2011/main" val="1"/>
          </a:ext>
        </a:extLst>
      </xdr:spPr>
      <xdr:txBody>
        <a:bodyPr wrap="square" lIns="0" tIns="0" rIns="0" bIns="0" numCol="1" anchor="t">
          <a:noAutofit/>
        </a:bodyPr>
        <a:lstStyle/>
        <a:p>
          <a:pPr marL="0" marR="0" indent="0" algn="l" defTabSz="914400" latinLnBrk="0">
            <a:lnSpc>
              <a:spcPct val="100000"/>
            </a:lnSpc>
            <a:spcBef>
              <a:spcPts val="0"/>
            </a:spcBef>
            <a:spcAft>
              <a:spcPts val="0"/>
            </a:spcAft>
            <a:buClrTx/>
            <a:buSzTx/>
            <a:buFontTx/>
            <a:buNone/>
            <a:tabLst/>
            <a:defRPr b="1" baseline="0" cap="none" i="0" spc="0" strike="noStrike" sz="1000" u="none">
              <a:ln>
                <a:noFill/>
              </a:ln>
              <a:solidFill>
                <a:srgbClr val="000000"/>
              </a:solidFill>
              <a:uFillTx/>
              <a:latin typeface="Arial"/>
              <a:ea typeface="Arial"/>
              <a:cs typeface="Arial"/>
              <a:sym typeface="Arial"/>
            </a:defRPr>
          </a:pPr>
          <a:r>
            <a:rPr b="1" baseline="0" cap="none" i="0" spc="0" strike="noStrike" sz="1000" u="none">
              <a:ln>
                <a:noFill/>
              </a:ln>
              <a:solidFill>
                <a:srgbClr val="000000"/>
              </a:solidFill>
              <a:uFillTx/>
              <a:latin typeface="Arial"/>
              <a:ea typeface="Arial"/>
              <a:cs typeface="Arial"/>
              <a:sym typeface="Arial"/>
            </a:rPr>
            <a:t>Abbreviations:</a:t>
          </a:r>
          <a:endParaRPr b="1" baseline="0" cap="none" i="0" spc="0" strike="noStrike" sz="1000" u="none">
            <a:ln>
              <a:noFill/>
            </a:ln>
            <a:solidFill>
              <a:srgbClr val="000000"/>
            </a:solidFill>
            <a:uFillTx/>
            <a:latin typeface="Arial"/>
            <a:ea typeface="Arial"/>
            <a:cs typeface="Arial"/>
            <a:sym typeface="Arial"/>
          </a:endParaRPr>
        </a:p>
        <a:p>
          <a:pPr marL="0" marR="0" indent="0" algn="l" defTabSz="914400" latinLnBrk="0">
            <a:lnSpc>
              <a:spcPct val="100000"/>
            </a:lnSpc>
            <a:spcBef>
              <a:spcPts val="0"/>
            </a:spcBef>
            <a:spcAft>
              <a:spcPts val="0"/>
            </a:spcAft>
            <a:buClrTx/>
            <a:buSzTx/>
            <a:buFontTx/>
            <a:buNone/>
            <a:tabLst/>
            <a:defRPr b="0" baseline="0" cap="none" i="0" spc="0" strike="noStrike" sz="1000" u="none">
              <a:ln>
                <a:noFill/>
              </a:ln>
              <a:solidFill>
                <a:srgbClr val="000000"/>
              </a:solidFill>
              <a:uFillTx/>
              <a:latin typeface="Arial"/>
              <a:ea typeface="Arial"/>
              <a:cs typeface="Arial"/>
              <a:sym typeface="Arial"/>
            </a:defRPr>
          </a:pPr>
          <a:r>
            <a:rPr b="0" baseline="0" cap="none" i="0" spc="0" strike="noStrike" sz="1000" u="none">
              <a:ln>
                <a:noFill/>
              </a:ln>
              <a:solidFill>
                <a:srgbClr val="000000"/>
              </a:solidFill>
              <a:uFillTx/>
              <a:latin typeface="Arial"/>
              <a:ea typeface="Arial"/>
              <a:cs typeface="Arial"/>
              <a:sym typeface="Arial"/>
            </a:rPr>
            <a:t>  </a:t>
          </a:r>
          <a:r>
            <a:rPr b="1" baseline="0" cap="none" i="0" spc="0" strike="noStrike" sz="1000" u="none">
              <a:ln>
                <a:noFill/>
              </a:ln>
              <a:solidFill>
                <a:srgbClr val="000000"/>
              </a:solidFill>
              <a:uFillTx/>
              <a:latin typeface="Arial"/>
              <a:ea typeface="Arial"/>
              <a:cs typeface="Arial"/>
              <a:sym typeface="Arial"/>
            </a:rPr>
            <a:t>CIDR</a:t>
          </a:r>
          <a:r>
            <a:rPr b="0" baseline="0" cap="none" i="0" spc="0" strike="noStrike" sz="1000" u="none">
              <a:ln>
                <a:noFill/>
              </a:ln>
              <a:solidFill>
                <a:srgbClr val="000000"/>
              </a:solidFill>
              <a:uFillTx/>
              <a:latin typeface="Arial"/>
              <a:ea typeface="Arial"/>
              <a:cs typeface="Arial"/>
              <a:sym typeface="Arial"/>
            </a:rPr>
            <a:t>  = Controlled Intravaginal Drug Release device - contains 1.38 g progesterone.</a:t>
          </a:r>
          <a:endParaRPr b="0" baseline="0" cap="none" i="0" spc="0" strike="noStrike" sz="1000" u="none">
            <a:ln>
              <a:noFill/>
            </a:ln>
            <a:solidFill>
              <a:srgbClr val="000000"/>
            </a:solidFill>
            <a:uFillTx/>
            <a:latin typeface="Arial"/>
            <a:ea typeface="Arial"/>
            <a:cs typeface="Arial"/>
            <a:sym typeface="Arial"/>
          </a:endParaRPr>
        </a:p>
        <a:p>
          <a:pPr marL="0" marR="0" indent="0" algn="l" defTabSz="914400" latinLnBrk="0">
            <a:lnSpc>
              <a:spcPct val="100000"/>
            </a:lnSpc>
            <a:spcBef>
              <a:spcPts val="0"/>
            </a:spcBef>
            <a:spcAft>
              <a:spcPts val="0"/>
            </a:spcAft>
            <a:buClrTx/>
            <a:buSzTx/>
            <a:buFontTx/>
            <a:buNone/>
            <a:tabLst/>
            <a:defRPr b="0" baseline="0" cap="none" i="0" spc="0" strike="noStrike" sz="1000" u="none">
              <a:ln>
                <a:noFill/>
              </a:ln>
              <a:solidFill>
                <a:srgbClr val="000000"/>
              </a:solidFill>
              <a:uFillTx/>
              <a:latin typeface="Arial"/>
              <a:ea typeface="Arial"/>
              <a:cs typeface="Arial"/>
              <a:sym typeface="Arial"/>
            </a:defRPr>
          </a:pPr>
          <a:endParaRPr b="0" baseline="0" cap="none" i="0" spc="0" strike="noStrike" sz="1000" u="none">
            <a:ln>
              <a:noFill/>
            </a:ln>
            <a:solidFill>
              <a:srgbClr val="000000"/>
            </a:solidFill>
            <a:uFillTx/>
            <a:latin typeface="Arial"/>
            <a:ea typeface="Arial"/>
            <a:cs typeface="Arial"/>
            <a:sym typeface="Arial"/>
          </a:endParaRPr>
        </a:p>
        <a:p>
          <a:pPr marL="0" marR="0" indent="0" algn="l" defTabSz="914400" latinLnBrk="0">
            <a:lnSpc>
              <a:spcPct val="100000"/>
            </a:lnSpc>
            <a:spcBef>
              <a:spcPts val="0"/>
            </a:spcBef>
            <a:spcAft>
              <a:spcPts val="0"/>
            </a:spcAft>
            <a:buClrTx/>
            <a:buSzTx/>
            <a:buFontTx/>
            <a:buNone/>
            <a:tabLst/>
            <a:defRPr b="0" baseline="0" cap="none" i="0" spc="0" strike="noStrike" sz="1000" u="none">
              <a:ln>
                <a:noFill/>
              </a:ln>
              <a:solidFill>
                <a:srgbClr val="000000"/>
              </a:solidFill>
              <a:uFillTx/>
              <a:latin typeface="Arial"/>
              <a:ea typeface="Arial"/>
              <a:cs typeface="Arial"/>
              <a:sym typeface="Arial"/>
            </a:defRPr>
          </a:pPr>
          <a:r>
            <a:rPr b="0" baseline="0" cap="none" i="0" spc="0" strike="noStrike" sz="1000" u="none">
              <a:ln>
                <a:noFill/>
              </a:ln>
              <a:solidFill>
                <a:srgbClr val="000000"/>
              </a:solidFill>
              <a:uFillTx/>
              <a:latin typeface="Arial"/>
              <a:ea typeface="Arial"/>
              <a:cs typeface="Arial"/>
              <a:sym typeface="Arial"/>
            </a:rPr>
            <a:t>  </a:t>
          </a:r>
          <a:r>
            <a:rPr b="1" baseline="0" cap="none" i="0" spc="0" strike="noStrike" sz="1000" u="none">
              <a:ln>
                <a:noFill/>
              </a:ln>
              <a:solidFill>
                <a:srgbClr val="000000"/>
              </a:solidFill>
              <a:uFillTx/>
              <a:latin typeface="Arial"/>
              <a:ea typeface="Arial"/>
              <a:cs typeface="Arial"/>
              <a:sym typeface="Arial"/>
            </a:rPr>
            <a:t>E-AI</a:t>
          </a:r>
          <a:r>
            <a:rPr b="0" baseline="0" cap="none" i="0" spc="0" strike="noStrike" sz="1000" u="none">
              <a:ln>
                <a:noFill/>
              </a:ln>
              <a:solidFill>
                <a:srgbClr val="000000"/>
              </a:solidFill>
              <a:uFillTx/>
              <a:latin typeface="Arial"/>
              <a:ea typeface="Arial"/>
              <a:cs typeface="Arial"/>
              <a:sym typeface="Arial"/>
            </a:rPr>
            <a:t>   = Estrus detection followed with artificial insemination 6 to 12 hrs after observed standing estrus (heat).</a:t>
          </a:r>
          <a:endParaRPr b="0" baseline="0" cap="none" i="0" spc="0" strike="noStrike" sz="1000" u="none">
            <a:ln>
              <a:noFill/>
            </a:ln>
            <a:solidFill>
              <a:srgbClr val="000000"/>
            </a:solidFill>
            <a:uFillTx/>
            <a:latin typeface="Arial"/>
            <a:ea typeface="Arial"/>
            <a:cs typeface="Arial"/>
            <a:sym typeface="Arial"/>
          </a:endParaRPr>
        </a:p>
        <a:p>
          <a:pPr marL="0" marR="0" indent="0" algn="l" defTabSz="914400" latinLnBrk="0">
            <a:lnSpc>
              <a:spcPct val="100000"/>
            </a:lnSpc>
            <a:spcBef>
              <a:spcPts val="0"/>
            </a:spcBef>
            <a:spcAft>
              <a:spcPts val="0"/>
            </a:spcAft>
            <a:buClrTx/>
            <a:buSzTx/>
            <a:buFontTx/>
            <a:buNone/>
            <a:tabLst/>
            <a:defRPr b="0" baseline="0" cap="none" i="0" spc="0" strike="noStrike" sz="1000" u="none">
              <a:ln>
                <a:noFill/>
              </a:ln>
              <a:solidFill>
                <a:srgbClr val="000000"/>
              </a:solidFill>
              <a:uFillTx/>
              <a:latin typeface="Arial"/>
              <a:ea typeface="Arial"/>
              <a:cs typeface="Arial"/>
              <a:sym typeface="Arial"/>
            </a:defRPr>
          </a:pPr>
          <a:endParaRPr b="0" baseline="0" cap="none" i="0" spc="0" strike="noStrike" sz="1000" u="none">
            <a:ln>
              <a:noFill/>
            </a:ln>
            <a:solidFill>
              <a:srgbClr val="000000"/>
            </a:solidFill>
            <a:uFillTx/>
            <a:latin typeface="Arial"/>
            <a:ea typeface="Arial"/>
            <a:cs typeface="Arial"/>
            <a:sym typeface="Arial"/>
          </a:endParaRPr>
        </a:p>
        <a:p>
          <a:pPr marL="0" marR="0" indent="0" algn="l" defTabSz="914400" latinLnBrk="0">
            <a:lnSpc>
              <a:spcPct val="100000"/>
            </a:lnSpc>
            <a:spcBef>
              <a:spcPts val="0"/>
            </a:spcBef>
            <a:spcAft>
              <a:spcPts val="0"/>
            </a:spcAft>
            <a:buClrTx/>
            <a:buSzTx/>
            <a:buFontTx/>
            <a:buNone/>
            <a:tabLst/>
            <a:defRPr b="1" baseline="0" cap="none" i="0" spc="0" strike="noStrike" sz="1000" u="none">
              <a:ln>
                <a:noFill/>
              </a:ln>
              <a:solidFill>
                <a:srgbClr val="000000"/>
              </a:solidFill>
              <a:uFillTx/>
              <a:latin typeface="Arial"/>
              <a:ea typeface="Arial"/>
              <a:cs typeface="Arial"/>
              <a:sym typeface="Arial"/>
            </a:defRPr>
          </a:pPr>
          <a:r>
            <a:rPr b="1" baseline="0" cap="none" i="0" spc="0" strike="noStrike" sz="1000" u="none">
              <a:ln>
                <a:noFill/>
              </a:ln>
              <a:solidFill>
                <a:srgbClr val="000000"/>
              </a:solidFill>
              <a:uFillTx/>
              <a:latin typeface="Arial"/>
              <a:ea typeface="Arial"/>
              <a:cs typeface="Arial"/>
              <a:sym typeface="Arial"/>
            </a:rPr>
            <a:t>  FTAI</a:t>
          </a:r>
          <a:r>
            <a:rPr b="0" baseline="0" cap="none" i="0" spc="0" strike="noStrike" sz="1000" u="none">
              <a:ln>
                <a:noFill/>
              </a:ln>
              <a:solidFill>
                <a:srgbClr val="000000"/>
              </a:solidFill>
              <a:uFillTx/>
              <a:latin typeface="Arial"/>
              <a:ea typeface="Arial"/>
              <a:cs typeface="Arial"/>
              <a:sym typeface="Arial"/>
            </a:rPr>
            <a:t>  = Fixed time artificial insemination</a:t>
          </a:r>
          <a:endParaRPr b="1" baseline="0" cap="none" i="0" spc="0" strike="noStrike" sz="1000" u="none">
            <a:ln>
              <a:noFill/>
            </a:ln>
            <a:solidFill>
              <a:srgbClr val="000000"/>
            </a:solidFill>
            <a:uFillTx/>
            <a:latin typeface="Arial"/>
            <a:ea typeface="Arial"/>
            <a:cs typeface="Arial"/>
            <a:sym typeface="Arial"/>
          </a:endParaRPr>
        </a:p>
        <a:p>
          <a:pPr marL="0" marR="0" indent="0" algn="l" defTabSz="914400" latinLnBrk="0">
            <a:lnSpc>
              <a:spcPct val="100000"/>
            </a:lnSpc>
            <a:spcBef>
              <a:spcPts val="0"/>
            </a:spcBef>
            <a:spcAft>
              <a:spcPts val="0"/>
            </a:spcAft>
            <a:buClrTx/>
            <a:buSzTx/>
            <a:buFontTx/>
            <a:buNone/>
            <a:tabLst/>
            <a:defRPr b="0" baseline="0" cap="none" i="0" spc="0" strike="noStrike" sz="1000" u="none">
              <a:ln>
                <a:noFill/>
              </a:ln>
              <a:solidFill>
                <a:srgbClr val="000000"/>
              </a:solidFill>
              <a:uFillTx/>
              <a:latin typeface="Arial"/>
              <a:ea typeface="Arial"/>
              <a:cs typeface="Arial"/>
              <a:sym typeface="Arial"/>
            </a:defRPr>
          </a:pPr>
          <a:endParaRPr b="0" baseline="0" cap="none" i="0" spc="0" strike="noStrike" sz="1000" u="none">
            <a:ln>
              <a:noFill/>
            </a:ln>
            <a:solidFill>
              <a:srgbClr val="000000"/>
            </a:solidFill>
            <a:uFillTx/>
            <a:latin typeface="Arial"/>
            <a:ea typeface="Arial"/>
            <a:cs typeface="Arial"/>
            <a:sym typeface="Arial"/>
          </a:endParaRPr>
        </a:p>
        <a:p>
          <a:pPr marL="0" marR="0" indent="0" algn="l" defTabSz="914400" latinLnBrk="0">
            <a:lnSpc>
              <a:spcPct val="100000"/>
            </a:lnSpc>
            <a:spcBef>
              <a:spcPts val="0"/>
            </a:spcBef>
            <a:spcAft>
              <a:spcPts val="0"/>
            </a:spcAft>
            <a:buClrTx/>
            <a:buSzTx/>
            <a:buFontTx/>
            <a:buNone/>
            <a:tabLst/>
            <a:defRPr b="0" baseline="0" cap="none" i="0" spc="0" strike="noStrike" sz="1000" u="none">
              <a:ln>
                <a:noFill/>
              </a:ln>
              <a:solidFill>
                <a:srgbClr val="000000"/>
              </a:solidFill>
              <a:uFillTx/>
              <a:latin typeface="Arial"/>
              <a:ea typeface="Arial"/>
              <a:cs typeface="Arial"/>
              <a:sym typeface="Arial"/>
            </a:defRPr>
          </a:pPr>
          <a:r>
            <a:rPr b="0" baseline="0" cap="none" i="0" spc="0" strike="noStrike" sz="1000" u="none">
              <a:ln>
                <a:noFill/>
              </a:ln>
              <a:solidFill>
                <a:srgbClr val="000000"/>
              </a:solidFill>
              <a:uFillTx/>
              <a:latin typeface="Arial"/>
              <a:ea typeface="Arial"/>
              <a:cs typeface="Arial"/>
              <a:sym typeface="Arial"/>
            </a:rPr>
            <a:t>  </a:t>
          </a:r>
          <a:r>
            <a:rPr b="1" baseline="0" cap="none" i="0" spc="0" strike="noStrike" sz="1000" u="none">
              <a:ln>
                <a:noFill/>
              </a:ln>
              <a:solidFill>
                <a:srgbClr val="000000"/>
              </a:solidFill>
              <a:uFillTx/>
              <a:latin typeface="Arial"/>
              <a:ea typeface="Arial"/>
              <a:cs typeface="Arial"/>
              <a:sym typeface="Arial"/>
            </a:rPr>
            <a:t>GnRH</a:t>
          </a:r>
          <a:r>
            <a:rPr b="0" baseline="0" cap="none" i="0" spc="0" strike="noStrike" sz="1000" u="none">
              <a:ln>
                <a:noFill/>
              </a:ln>
              <a:solidFill>
                <a:srgbClr val="000000"/>
              </a:solidFill>
              <a:uFillTx/>
              <a:latin typeface="Arial"/>
              <a:ea typeface="Arial"/>
              <a:cs typeface="Arial"/>
              <a:sym typeface="Arial"/>
            </a:rPr>
            <a:t> = Gonadotropin-Releasing Hormone [Commercial products available include: Cystorelin (Merial), Factrel (Zoetis), Fertagyl (Merck), OvaCyst (Bayer</a:t>
          </a:r>
          <a:endParaRPr b="0" baseline="0" cap="none" i="0" spc="0" strike="noStrike" sz="1000" u="none">
            <a:ln>
              <a:noFill/>
            </a:ln>
            <a:solidFill>
              <a:srgbClr val="000000"/>
            </a:solidFill>
            <a:uFillTx/>
            <a:latin typeface="Arial"/>
            <a:ea typeface="Arial"/>
            <a:cs typeface="Arial"/>
            <a:sym typeface="Arial"/>
          </a:endParaRPr>
        </a:p>
        <a:p>
          <a:pPr marL="0" marR="0" indent="0" algn="l" defTabSz="914400" latinLnBrk="0">
            <a:lnSpc>
              <a:spcPct val="100000"/>
            </a:lnSpc>
            <a:spcBef>
              <a:spcPts val="0"/>
            </a:spcBef>
            <a:spcAft>
              <a:spcPts val="0"/>
            </a:spcAft>
            <a:buClrTx/>
            <a:buSzTx/>
            <a:buFontTx/>
            <a:buNone/>
            <a:tabLst/>
            <a:defRPr b="0" baseline="0" cap="none" i="0" spc="0" strike="noStrike" sz="1000" u="none">
              <a:ln>
                <a:noFill/>
              </a:ln>
              <a:solidFill>
                <a:srgbClr val="000000"/>
              </a:solidFill>
              <a:uFillTx/>
              <a:latin typeface="Arial"/>
              <a:ea typeface="Arial"/>
              <a:cs typeface="Arial"/>
              <a:sym typeface="Arial"/>
            </a:defRPr>
          </a:pPr>
          <a:r>
            <a:rPr b="0" baseline="0" cap="none" i="0" spc="0" strike="noStrike" sz="1000" u="none">
              <a:ln>
                <a:noFill/>
              </a:ln>
              <a:solidFill>
                <a:srgbClr val="000000"/>
              </a:solidFill>
              <a:uFillTx/>
              <a:latin typeface="Arial"/>
              <a:ea typeface="Arial"/>
              <a:cs typeface="Arial"/>
              <a:sym typeface="Arial"/>
            </a:rPr>
            <a:t>), GONAbreed (Parnell)]</a:t>
          </a:r>
          <a:endParaRPr b="0" baseline="0" cap="none" i="0" spc="0" strike="noStrike" sz="1000" u="none">
            <a:ln>
              <a:noFill/>
            </a:ln>
            <a:solidFill>
              <a:srgbClr val="000000"/>
            </a:solidFill>
            <a:uFillTx/>
            <a:latin typeface="Arial"/>
            <a:ea typeface="Arial"/>
            <a:cs typeface="Arial"/>
            <a:sym typeface="Arial"/>
          </a:endParaRPr>
        </a:p>
        <a:p>
          <a:pPr marL="0" marR="0" indent="0" algn="l" defTabSz="914400" latinLnBrk="0">
            <a:lnSpc>
              <a:spcPct val="100000"/>
            </a:lnSpc>
            <a:spcBef>
              <a:spcPts val="0"/>
            </a:spcBef>
            <a:spcAft>
              <a:spcPts val="0"/>
            </a:spcAft>
            <a:buClrTx/>
            <a:buSzTx/>
            <a:buFontTx/>
            <a:buNone/>
            <a:tabLst/>
            <a:defRPr b="0" baseline="0" cap="none" i="0" spc="0" strike="noStrike" sz="1000" u="none">
              <a:ln>
                <a:noFill/>
              </a:ln>
              <a:solidFill>
                <a:srgbClr val="000000"/>
              </a:solidFill>
              <a:uFillTx/>
              <a:latin typeface="Arial"/>
              <a:ea typeface="Arial"/>
              <a:cs typeface="Arial"/>
              <a:sym typeface="Arial"/>
            </a:defRPr>
          </a:pPr>
          <a:endParaRPr b="0" baseline="0" cap="none" i="0" spc="0" strike="noStrike" sz="1000" u="none">
            <a:ln>
              <a:noFill/>
            </a:ln>
            <a:solidFill>
              <a:srgbClr val="000000"/>
            </a:solidFill>
            <a:uFillTx/>
            <a:latin typeface="Arial"/>
            <a:ea typeface="Arial"/>
            <a:cs typeface="Arial"/>
            <a:sym typeface="Arial"/>
          </a:endParaRPr>
        </a:p>
        <a:p>
          <a:pPr marL="0" marR="0" indent="0" algn="l" defTabSz="914400" latinLnBrk="0">
            <a:lnSpc>
              <a:spcPct val="100000"/>
            </a:lnSpc>
            <a:spcBef>
              <a:spcPts val="0"/>
            </a:spcBef>
            <a:spcAft>
              <a:spcPts val="0"/>
            </a:spcAft>
            <a:buClrTx/>
            <a:buSzTx/>
            <a:buFontTx/>
            <a:buNone/>
            <a:tabLst/>
            <a:defRPr b="0" baseline="0" cap="none" i="0" spc="0" strike="noStrike" sz="1000" u="none">
              <a:ln>
                <a:noFill/>
              </a:ln>
              <a:solidFill>
                <a:srgbClr val="000000"/>
              </a:solidFill>
              <a:uFillTx/>
              <a:latin typeface="Arial"/>
              <a:ea typeface="Arial"/>
              <a:cs typeface="Arial"/>
              <a:sym typeface="Arial"/>
            </a:defRPr>
          </a:pPr>
          <a:r>
            <a:rPr b="0" baseline="0" cap="none" i="0" spc="0" strike="noStrike" sz="1000" u="none">
              <a:ln>
                <a:noFill/>
              </a:ln>
              <a:solidFill>
                <a:srgbClr val="000000"/>
              </a:solidFill>
              <a:uFillTx/>
              <a:latin typeface="Arial"/>
              <a:ea typeface="Arial"/>
              <a:cs typeface="Arial"/>
              <a:sym typeface="Arial"/>
            </a:rPr>
            <a:t>  </a:t>
          </a:r>
          <a:r>
            <a:rPr b="1" baseline="0" cap="none" i="0" spc="0" strike="noStrike" sz="1000" u="none">
              <a:ln>
                <a:noFill/>
              </a:ln>
              <a:solidFill>
                <a:srgbClr val="000000"/>
              </a:solidFill>
              <a:uFillTx/>
              <a:latin typeface="Arial"/>
              <a:ea typeface="Arial"/>
              <a:cs typeface="Arial"/>
              <a:sym typeface="Arial"/>
            </a:rPr>
            <a:t>MGA</a:t>
          </a:r>
          <a:r>
            <a:rPr b="0" baseline="0" cap="none" i="0" spc="0" strike="noStrike" sz="1000" u="none">
              <a:ln>
                <a:noFill/>
              </a:ln>
              <a:solidFill>
                <a:srgbClr val="000000"/>
              </a:solidFill>
              <a:uFillTx/>
              <a:latin typeface="Arial"/>
              <a:ea typeface="Arial"/>
              <a:cs typeface="Arial"/>
              <a:sym typeface="Arial"/>
            </a:rPr>
            <a:t>  = Melengestrol Acetate  </a:t>
          </a:r>
          <a:endParaRPr b="0" baseline="0" cap="none" i="0" spc="0" strike="noStrike" sz="1000" u="none">
            <a:ln>
              <a:noFill/>
            </a:ln>
            <a:solidFill>
              <a:srgbClr val="000000"/>
            </a:solidFill>
            <a:uFillTx/>
            <a:latin typeface="Arial"/>
            <a:ea typeface="Arial"/>
            <a:cs typeface="Arial"/>
            <a:sym typeface="Arial"/>
          </a:endParaRPr>
        </a:p>
        <a:p>
          <a:pPr marL="0" marR="0" indent="0" algn="l" defTabSz="914400" latinLnBrk="0">
            <a:lnSpc>
              <a:spcPct val="100000"/>
            </a:lnSpc>
            <a:spcBef>
              <a:spcPts val="0"/>
            </a:spcBef>
            <a:spcAft>
              <a:spcPts val="0"/>
            </a:spcAft>
            <a:buClrTx/>
            <a:buSzTx/>
            <a:buFontTx/>
            <a:buNone/>
            <a:tabLst/>
            <a:defRPr b="0" baseline="0" cap="none" i="0" spc="0" strike="noStrike" sz="1000" u="none">
              <a:ln>
                <a:noFill/>
              </a:ln>
              <a:solidFill>
                <a:srgbClr val="000000"/>
              </a:solidFill>
              <a:uFillTx/>
              <a:latin typeface="Arial"/>
              <a:ea typeface="Arial"/>
              <a:cs typeface="Arial"/>
              <a:sym typeface="Arial"/>
            </a:defRPr>
          </a:pPr>
          <a:endParaRPr b="0" baseline="0" cap="none" i="0" spc="0" strike="noStrike" sz="1000" u="none">
            <a:ln>
              <a:noFill/>
            </a:ln>
            <a:solidFill>
              <a:srgbClr val="000000"/>
            </a:solidFill>
            <a:uFillTx/>
            <a:latin typeface="Arial"/>
            <a:ea typeface="Arial"/>
            <a:cs typeface="Arial"/>
            <a:sym typeface="Arial"/>
          </a:endParaRPr>
        </a:p>
        <a:p>
          <a:pPr marL="0" marR="0" indent="0" algn="l" defTabSz="914400" latinLnBrk="0">
            <a:lnSpc>
              <a:spcPct val="100000"/>
            </a:lnSpc>
            <a:spcBef>
              <a:spcPts val="0"/>
            </a:spcBef>
            <a:spcAft>
              <a:spcPts val="0"/>
            </a:spcAft>
            <a:buClrTx/>
            <a:buSzTx/>
            <a:buFontTx/>
            <a:buNone/>
            <a:tabLst/>
            <a:defRPr b="0" baseline="0" cap="none" i="0" spc="0" strike="noStrike" sz="1000" u="none">
              <a:ln>
                <a:noFill/>
              </a:ln>
              <a:solidFill>
                <a:srgbClr val="000000"/>
              </a:solidFill>
              <a:uFillTx/>
              <a:latin typeface="Arial"/>
              <a:ea typeface="Arial"/>
              <a:cs typeface="Arial"/>
              <a:sym typeface="Arial"/>
            </a:defRPr>
          </a:pPr>
          <a:r>
            <a:rPr b="0" baseline="0" cap="none" i="0" spc="0" strike="noStrike" sz="1000" u="none">
              <a:ln>
                <a:noFill/>
              </a:ln>
              <a:solidFill>
                <a:srgbClr val="000000"/>
              </a:solidFill>
              <a:uFillTx/>
              <a:latin typeface="Arial"/>
              <a:ea typeface="Arial"/>
              <a:cs typeface="Arial"/>
              <a:sym typeface="Arial"/>
            </a:rPr>
            <a:t>  </a:t>
          </a:r>
          <a:r>
            <a:rPr b="1" baseline="0" cap="none" i="0" spc="0" strike="noStrike" sz="1000" u="none">
              <a:ln>
                <a:noFill/>
              </a:ln>
              <a:solidFill>
                <a:srgbClr val="000000"/>
              </a:solidFill>
              <a:uFillTx/>
              <a:latin typeface="Arial"/>
              <a:ea typeface="Arial"/>
              <a:cs typeface="Arial"/>
              <a:sym typeface="Arial"/>
            </a:rPr>
            <a:t>PG</a:t>
          </a:r>
          <a:r>
            <a:rPr b="0" baseline="0" cap="none" i="0" spc="0" strike="noStrike" sz="1000" u="none">
              <a:ln>
                <a:noFill/>
              </a:ln>
              <a:solidFill>
                <a:srgbClr val="000000"/>
              </a:solidFill>
              <a:uFillTx/>
              <a:latin typeface="Arial"/>
              <a:ea typeface="Arial"/>
              <a:cs typeface="Arial"/>
              <a:sym typeface="Arial"/>
            </a:rPr>
            <a:t>      = Prostaglandin F2alpha [ Commerial products available include: Estrumate (Merck), EstroPLAN (Parnell), InSynch (Agri Labs), Lutalyse (Zoetis), ProstaMate (Bayer)), High Concentrated Lutalyse (Zoetis), Synchsure (Merial)].</a:t>
          </a:r>
        </a:p>
      </xdr:txBody>
    </xdr:sp>
    <xdr:clientData/>
  </xdr:twoCellAnchor>
  <xdr:twoCellAnchor>
    <xdr:from>
      <xdr:col>0</xdr:col>
      <xdr:colOff>105171</xdr:colOff>
      <xdr:row>0</xdr:row>
      <xdr:rowOff>40500</xdr:rowOff>
    </xdr:from>
    <xdr:to>
      <xdr:col>2</xdr:col>
      <xdr:colOff>420687</xdr:colOff>
      <xdr:row>0</xdr:row>
      <xdr:rowOff>1154250</xdr:rowOff>
    </xdr:to>
    <xdr:pic>
      <xdr:nvPicPr>
        <xdr:cNvPr id="49" name="BeefReproTaskForceLogo.png" descr="BeefReproTaskForceLogo.png"/>
        <xdr:cNvPicPr>
          <a:picLocks noChangeAspect="1"/>
        </xdr:cNvPicPr>
      </xdr:nvPicPr>
      <xdr:blipFill>
        <a:blip r:embed="rId1">
          <a:extLst/>
        </a:blip>
        <a:stretch>
          <a:fillRect/>
        </a:stretch>
      </xdr:blipFill>
      <xdr:spPr>
        <a:xfrm>
          <a:off x="105171" y="40499"/>
          <a:ext cx="1661717" cy="1113752"/>
        </a:xfrm>
        <a:prstGeom prst="rect">
          <a:avLst/>
        </a:prstGeom>
        <a:ln w="12700" cap="flat">
          <a:noFill/>
          <a:miter lim="400000"/>
        </a:ln>
        <a:effectLst/>
      </xdr:spPr>
    </xdr:pic>
    <xdr:clientData/>
  </xdr:twoCellAnchor>
</xdr:wsDr>
</file>

<file path=xl/drawings/drawing6.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698500</xdr:colOff>
      <xdr:row>2</xdr:row>
      <xdr:rowOff>67499</xdr:rowOff>
    </xdr:from>
    <xdr:to>
      <xdr:col>8</xdr:col>
      <xdr:colOff>294679</xdr:colOff>
      <xdr:row>33</xdr:row>
      <xdr:rowOff>163499</xdr:rowOff>
    </xdr:to>
    <xdr:pic>
      <xdr:nvPicPr>
        <xdr:cNvPr id="51" name="image.png"/>
        <xdr:cNvPicPr>
          <a:picLocks noChangeAspect="1"/>
        </xdr:cNvPicPr>
      </xdr:nvPicPr>
      <xdr:blipFill>
        <a:blip r:embed="rId1">
          <a:extLst/>
        </a:blip>
        <a:srcRect l="25729" t="10285" r="24792" b="7681"/>
        <a:stretch>
          <a:fillRect/>
        </a:stretch>
      </xdr:blipFill>
      <xdr:spPr>
        <a:xfrm>
          <a:off x="698499" y="524699"/>
          <a:ext cx="5184181" cy="6001501"/>
        </a:xfrm>
        <a:prstGeom prst="rect">
          <a:avLst/>
        </a:prstGeom>
        <a:ln w="12700" cap="flat">
          <a:noFill/>
          <a:miter lim="400000"/>
        </a:ln>
        <a:effectLst/>
      </xdr:spPr>
    </xdr:pic>
    <xdr:clientData/>
  </xdr:twoCellAnchor>
  <xdr:twoCellAnchor>
    <xdr:from>
      <xdr:col>10</xdr:col>
      <xdr:colOff>21828</xdr:colOff>
      <xdr:row>2</xdr:row>
      <xdr:rowOff>76499</xdr:rowOff>
    </xdr:from>
    <xdr:to>
      <xdr:col>17</xdr:col>
      <xdr:colOff>251023</xdr:colOff>
      <xdr:row>33</xdr:row>
      <xdr:rowOff>163500</xdr:rowOff>
    </xdr:to>
    <xdr:pic>
      <xdr:nvPicPr>
        <xdr:cNvPr id="52" name="image.png"/>
        <xdr:cNvPicPr>
          <a:picLocks noChangeAspect="1"/>
        </xdr:cNvPicPr>
      </xdr:nvPicPr>
      <xdr:blipFill>
        <a:blip r:embed="rId2">
          <a:extLst/>
        </a:blip>
        <a:srcRect l="25834" t="10806" r="25311" b="7292"/>
        <a:stretch>
          <a:fillRect/>
        </a:stretch>
      </xdr:blipFill>
      <xdr:spPr>
        <a:xfrm>
          <a:off x="7006828" y="533699"/>
          <a:ext cx="5118696" cy="5992502"/>
        </a:xfrm>
        <a:prstGeom prst="rect">
          <a:avLst/>
        </a:prstGeom>
        <a:ln w="12700" cap="flat">
          <a:noFill/>
          <a:miter lim="400000"/>
        </a:ln>
        <a:effectLst/>
      </xdr:spPr>
    </xdr:pic>
    <xdr:clientData/>
  </xdr:twoCellAnchor>
</xdr:wsDr>
</file>

<file path=xl/theme/theme1.xml><?xml version="1.0" encoding="utf-8"?>
<a:theme xmlns:a="http://schemas.openxmlformats.org/drawingml/2006/main" xmlns:r="http://schemas.openxmlformats.org/officeDocument/2006/relationships"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outerShdw sx="100000" sy="100000" kx="0" ky="0" algn="b" rotWithShape="0" blurRad="38100" dist="20000" dir="540000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outerShdw sx="100000" sy="100000" kx="0" ky="0" algn="b" rotWithShape="0" blurRad="38100" dist="20000" dir="5400000">
            <a:srgbClr val="000000">
              <a:alpha val="38000"/>
            </a:srgbClr>
          </a:outerShdw>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latin typeface="Cambria"/>
            <a:ea typeface="Cambria"/>
            <a:cs typeface="Cambria"/>
            <a:sym typeface="Cambria"/>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hyperlink" Target="mailto:garland@iastate.edu" TargetMode="External"/><Relationship Id="rId2" Type="http://schemas.openxmlformats.org/officeDocument/2006/relationships/hyperlink" Target="mailto:sandyj@ksu.edu" TargetMode="External"/><Relationship Id="rId3" Type="http://schemas.openxmlformats.org/officeDocument/2006/relationships/hyperlink" Target="http://www.iowabeefcenter.org/estrussynch.html" TargetMode="External"/><Relationship Id="rId4" Type="http://schemas.openxmlformats.org/officeDocument/2006/relationships/hyperlink" Target="https://beefrepro.unl.edu/" TargetMode="External"/><Relationship Id="rId5" Type="http://schemas.openxmlformats.org/officeDocument/2006/relationships/drawing" Target="../drawings/drawing1.xml"/></Relationships>

</file>

<file path=xl/worksheets/_rels/sheet2.xml.rels><?xml version="1.0" encoding="UTF-8"?>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5.xml.rels><?xml version="1.0" encoding="UTF-8"?>
<Relationships xmlns="http://schemas.openxmlformats.org/package/2006/relationships"><Relationship Id="rId1" Type="http://schemas.openxmlformats.org/officeDocument/2006/relationships/drawing" Target="../drawings/drawing3.xml"/></Relationships>

</file>

<file path=xl/worksheets/_rels/sheet6.xml.rels><?xml version="1.0" encoding="UTF-8"?>
<Relationships xmlns="http://schemas.openxmlformats.org/package/2006/relationships"><Relationship Id="rId1" Type="http://schemas.openxmlformats.org/officeDocument/2006/relationships/drawing" Target="../drawings/drawing4.xml"/></Relationships>

</file>

<file path=xl/worksheets/_rels/sheet7.xml.rels><?xml version="1.0" encoding="UTF-8"?>
<Relationships xmlns="http://schemas.openxmlformats.org/package/2006/relationships"><Relationship Id="rId1" Type="http://schemas.openxmlformats.org/officeDocument/2006/relationships/drawing" Target="../drawings/drawing5.xml"/></Relationships>

</file>

<file path=xl/worksheets/_rels/sheet8.xml.rels><?xml version="1.0" encoding="UTF-8"?>
<Relationships xmlns="http://schemas.openxmlformats.org/package/2006/relationships"><Relationship Id="rId1" Type="http://schemas.openxmlformats.org/officeDocument/2006/relationships/drawing" Target="../drawings/drawing6.xml"/></Relationships>

</file>

<file path=xl/worksheets/sheet1.xml><?xml version="1.0" encoding="utf-8"?>
<worksheet xmlns:r="http://schemas.openxmlformats.org/officeDocument/2006/relationships" xmlns="http://schemas.openxmlformats.org/spreadsheetml/2006/main">
  <dimension ref="A1:T67"/>
  <sheetViews>
    <sheetView workbookViewId="0" showGridLines="0" defaultGridColor="1"/>
  </sheetViews>
  <sheetFormatPr defaultColWidth="8.83333" defaultRowHeight="15" customHeight="1" outlineLevelRow="0" outlineLevelCol="0"/>
  <cols>
    <col min="1" max="1" width="4.5" style="1" customWidth="1"/>
    <col min="2" max="12" width="9.17188" style="1" customWidth="1"/>
    <col min="13" max="13" width="10.6719" style="1" customWidth="1"/>
    <col min="14" max="20" width="9.17188" style="1" customWidth="1"/>
    <col min="21" max="256" width="8.85156" style="1" customWidth="1"/>
  </cols>
  <sheetData>
    <row r="1" ht="15" customHeight="1" hidden="1">
      <c r="A1" s="2"/>
      <c r="B1" s="3"/>
      <c r="C1" s="3"/>
      <c r="D1" s="3"/>
      <c r="E1" s="3"/>
      <c r="F1" s="3"/>
      <c r="G1" s="3"/>
      <c r="H1" s="3"/>
      <c r="I1" s="3"/>
      <c r="J1" s="3"/>
      <c r="K1" s="3"/>
      <c r="L1" s="3"/>
      <c r="M1" s="3"/>
      <c r="N1" s="3"/>
      <c r="O1" s="3"/>
      <c r="P1" s="3"/>
      <c r="Q1" s="3"/>
      <c r="R1" s="3"/>
      <c r="S1" s="3"/>
      <c r="T1" s="4"/>
    </row>
    <row r="2" ht="15" customHeight="1" hidden="1">
      <c r="A2" s="2"/>
      <c r="B2" s="3"/>
      <c r="C2" s="3"/>
      <c r="D2" s="3"/>
      <c r="E2" s="3"/>
      <c r="F2" s="3"/>
      <c r="G2" s="3"/>
      <c r="H2" s="3"/>
      <c r="I2" s="3"/>
      <c r="J2" s="3"/>
      <c r="K2" s="3"/>
      <c r="L2" s="3"/>
      <c r="M2" s="3"/>
      <c r="N2" s="3"/>
      <c r="O2" s="3"/>
      <c r="P2" s="3"/>
      <c r="Q2" s="3"/>
      <c r="R2" s="3"/>
      <c r="S2" s="3"/>
      <c r="T2" s="4"/>
    </row>
    <row r="3" ht="15" customHeight="1">
      <c r="A3" s="5"/>
      <c r="B3" s="6"/>
      <c r="C3" s="7"/>
      <c r="D3" s="7"/>
      <c r="E3" s="7"/>
      <c r="F3" s="7"/>
      <c r="G3" s="7"/>
      <c r="H3" s="7"/>
      <c r="I3" s="7"/>
      <c r="J3" s="7"/>
      <c r="K3" s="7"/>
      <c r="L3" s="7"/>
      <c r="M3" s="8"/>
      <c r="N3" s="8"/>
      <c r="O3" s="8"/>
      <c r="P3" s="9"/>
      <c r="Q3" s="8"/>
      <c r="R3" s="8"/>
      <c r="S3" s="8"/>
      <c r="T3" s="10"/>
    </row>
    <row r="4" ht="15" customHeight="1">
      <c r="A4" s="11"/>
      <c r="B4" s="12"/>
      <c r="C4" s="12"/>
      <c r="D4" s="12"/>
      <c r="E4" s="12"/>
      <c r="F4" s="12"/>
      <c r="G4" s="12"/>
      <c r="H4" s="12"/>
      <c r="I4" s="12"/>
      <c r="J4" s="12"/>
      <c r="K4" s="12"/>
      <c r="L4" s="12"/>
      <c r="M4" s="13"/>
      <c r="N4" s="13"/>
      <c r="O4" s="13"/>
      <c r="P4" s="14"/>
      <c r="Q4" s="15"/>
      <c r="R4" s="15"/>
      <c r="S4" s="15"/>
      <c r="T4" s="16"/>
    </row>
    <row r="5" ht="26.25" customHeight="1">
      <c r="A5" s="11"/>
      <c r="B5" s="13"/>
      <c r="C5" s="17"/>
      <c r="D5" s="13"/>
      <c r="E5" s="18"/>
      <c r="F5" s="13"/>
      <c r="G5" s="13"/>
      <c r="H5" s="13"/>
      <c r="I5" s="13"/>
      <c r="J5" s="13"/>
      <c r="K5" s="13"/>
      <c r="L5" s="13"/>
      <c r="M5" s="17"/>
      <c r="N5" s="19"/>
      <c r="O5" s="20"/>
      <c r="P5" s="14"/>
      <c r="Q5" s="21"/>
      <c r="R5" s="15"/>
      <c r="S5" s="15"/>
      <c r="T5" s="16"/>
    </row>
    <row r="6" ht="15" customHeight="1">
      <c r="A6" s="11"/>
      <c r="B6" s="13"/>
      <c r="C6" s="13"/>
      <c r="D6" s="13"/>
      <c r="E6" s="13"/>
      <c r="F6" s="13"/>
      <c r="G6" s="13"/>
      <c r="H6" s="13"/>
      <c r="I6" s="13"/>
      <c r="J6" s="13"/>
      <c r="K6" s="13"/>
      <c r="L6" s="13"/>
      <c r="M6" s="13"/>
      <c r="N6" s="13"/>
      <c r="O6" s="13"/>
      <c r="P6" s="14"/>
      <c r="Q6" s="21"/>
      <c r="R6" s="15"/>
      <c r="S6" s="15"/>
      <c r="T6" s="16"/>
    </row>
    <row r="7" ht="15" customHeight="1">
      <c r="A7" s="11"/>
      <c r="B7" s="13"/>
      <c r="C7" s="13"/>
      <c r="D7" s="13"/>
      <c r="E7" s="13"/>
      <c r="F7" s="13"/>
      <c r="G7" s="13"/>
      <c r="H7" s="13"/>
      <c r="I7" s="13"/>
      <c r="J7" s="13"/>
      <c r="K7" s="13"/>
      <c r="L7" s="13"/>
      <c r="M7" s="13"/>
      <c r="N7" s="13"/>
      <c r="O7" s="13"/>
      <c r="P7" s="14"/>
      <c r="Q7" s="21"/>
      <c r="R7" s="15"/>
      <c r="S7" s="15"/>
      <c r="T7" s="16"/>
    </row>
    <row r="8" ht="30" customHeight="1">
      <c r="A8" s="11"/>
      <c r="B8" s="13"/>
      <c r="C8" s="13"/>
      <c r="D8" s="22"/>
      <c r="E8" s="13"/>
      <c r="F8" s="13"/>
      <c r="G8" s="13"/>
      <c r="H8" s="13"/>
      <c r="I8" s="13"/>
      <c r="J8" s="13"/>
      <c r="K8" s="13"/>
      <c r="L8" s="13"/>
      <c r="M8" s="13"/>
      <c r="N8" s="13"/>
      <c r="O8" s="13"/>
      <c r="P8" s="14"/>
      <c r="Q8" s="23"/>
      <c r="R8" s="15"/>
      <c r="S8" s="15"/>
      <c r="T8" s="16"/>
    </row>
    <row r="9" ht="15" customHeight="1">
      <c r="A9" s="11"/>
      <c r="B9" s="13"/>
      <c r="C9" s="13"/>
      <c r="D9" s="13"/>
      <c r="E9" s="13"/>
      <c r="F9" s="13"/>
      <c r="G9" s="13"/>
      <c r="H9" s="13"/>
      <c r="I9" s="13"/>
      <c r="J9" s="13"/>
      <c r="K9" s="13"/>
      <c r="L9" s="13"/>
      <c r="M9" s="13"/>
      <c r="N9" s="13"/>
      <c r="O9" s="13"/>
      <c r="P9" s="24"/>
      <c r="Q9" s="15"/>
      <c r="R9" s="15"/>
      <c r="S9" s="15"/>
      <c r="T9" s="16"/>
    </row>
    <row r="10" ht="15" customHeight="1">
      <c r="A10" s="11"/>
      <c r="B10" s="13"/>
      <c r="C10" s="13"/>
      <c r="D10" s="13"/>
      <c r="E10" s="13"/>
      <c r="F10" s="13"/>
      <c r="G10" s="13"/>
      <c r="H10" s="13"/>
      <c r="I10" s="13"/>
      <c r="J10" s="13"/>
      <c r="K10" s="13"/>
      <c r="L10" s="13"/>
      <c r="M10" s="13"/>
      <c r="N10" s="13"/>
      <c r="O10" s="13"/>
      <c r="P10" s="14"/>
      <c r="Q10" s="17"/>
      <c r="R10" s="15"/>
      <c r="S10" s="15"/>
      <c r="T10" s="16"/>
    </row>
    <row r="11" ht="34.5" customHeight="1">
      <c r="A11" s="11"/>
      <c r="B11" s="13"/>
      <c r="C11" s="13"/>
      <c r="D11" s="25"/>
      <c r="E11" s="26"/>
      <c r="F11" s="13"/>
      <c r="G11" s="13"/>
      <c r="H11" s="13"/>
      <c r="I11" s="13"/>
      <c r="J11" s="13"/>
      <c r="K11" s="13"/>
      <c r="L11" s="13"/>
      <c r="M11" s="13"/>
      <c r="N11" s="13"/>
      <c r="O11" s="13"/>
      <c r="P11" s="27"/>
      <c r="Q11" s="21"/>
      <c r="R11" s="13"/>
      <c r="S11" s="13"/>
      <c r="T11" s="28"/>
    </row>
    <row r="12" ht="15" customHeight="1">
      <c r="A12" s="11"/>
      <c r="B12" s="13"/>
      <c r="C12" s="13"/>
      <c r="D12" s="13"/>
      <c r="E12" s="13"/>
      <c r="F12" s="13"/>
      <c r="G12" s="13"/>
      <c r="H12" s="13"/>
      <c r="I12" s="13"/>
      <c r="J12" s="13"/>
      <c r="K12" s="17"/>
      <c r="L12" s="13"/>
      <c r="M12" s="13"/>
      <c r="N12" s="13"/>
      <c r="O12" s="13"/>
      <c r="P12" s="14"/>
      <c r="Q12" s="21"/>
      <c r="R12" s="13"/>
      <c r="S12" s="13"/>
      <c r="T12" s="29"/>
    </row>
    <row r="13" ht="15" customHeight="1">
      <c r="A13" s="30"/>
      <c r="B13" s="31"/>
      <c r="C13" s="31"/>
      <c r="D13" s="31"/>
      <c r="E13" s="31"/>
      <c r="F13" s="31"/>
      <c r="G13" s="31"/>
      <c r="H13" s="31"/>
      <c r="I13" s="31"/>
      <c r="J13" s="31"/>
      <c r="K13" s="31"/>
      <c r="L13" s="32"/>
      <c r="M13" s="32"/>
      <c r="N13" s="32"/>
      <c r="O13" s="33"/>
      <c r="P13" s="14"/>
      <c r="Q13" s="21"/>
      <c r="R13" s="13"/>
      <c r="S13" s="13"/>
      <c r="T13" s="29"/>
    </row>
    <row r="14" ht="15" customHeight="1">
      <c r="A14" s="34"/>
      <c r="B14" s="35"/>
      <c r="C14" s="35"/>
      <c r="D14" s="35"/>
      <c r="E14" s="35"/>
      <c r="F14" s="35"/>
      <c r="G14" s="35"/>
      <c r="H14" s="35"/>
      <c r="I14" s="35"/>
      <c r="J14" s="35"/>
      <c r="K14" s="35"/>
      <c r="L14" s="36"/>
      <c r="M14" s="36"/>
      <c r="N14" s="32"/>
      <c r="O14" s="33"/>
      <c r="P14" t="s" s="37">
        <v>0</v>
      </c>
      <c r="Q14" s="21"/>
      <c r="R14" s="13"/>
      <c r="S14" s="13"/>
      <c r="T14" s="29"/>
    </row>
    <row r="15" ht="30" customHeight="1">
      <c r="A15" s="38"/>
      <c r="B15" t="s" s="39">
        <v>1</v>
      </c>
      <c r="C15" s="40"/>
      <c r="D15" s="41"/>
      <c r="E15" s="40"/>
      <c r="F15" s="40"/>
      <c r="G15" s="41"/>
      <c r="H15" s="42"/>
      <c r="I15" s="40"/>
      <c r="J15" s="40"/>
      <c r="K15" s="43"/>
      <c r="L15" s="40"/>
      <c r="M15" t="s" s="44">
        <v>2</v>
      </c>
      <c r="N15" s="45"/>
      <c r="O15" s="13"/>
      <c r="P15" t="s" s="37">
        <v>3</v>
      </c>
      <c r="Q15" s="46"/>
      <c r="R15" s="46"/>
      <c r="S15" s="46"/>
      <c r="T15" s="47"/>
    </row>
    <row r="16" ht="10.5" customHeight="1">
      <c r="A16" s="38"/>
      <c r="B16" s="48"/>
      <c r="C16" s="49"/>
      <c r="D16" s="50"/>
      <c r="E16" s="49"/>
      <c r="F16" s="49"/>
      <c r="G16" s="49"/>
      <c r="H16" s="49"/>
      <c r="I16" s="49"/>
      <c r="J16" s="49"/>
      <c r="K16" s="51"/>
      <c r="L16" s="49"/>
      <c r="M16" s="52"/>
      <c r="N16" s="53"/>
      <c r="O16" s="13"/>
      <c r="P16" s="14"/>
      <c r="Q16" s="13"/>
      <c r="R16" s="13"/>
      <c r="S16" s="13"/>
      <c r="T16" s="29"/>
    </row>
    <row r="17" ht="10.5" customHeight="1">
      <c r="A17" s="38"/>
      <c r="B17" s="54"/>
      <c r="C17" s="55"/>
      <c r="D17" s="56"/>
      <c r="E17" s="55"/>
      <c r="F17" s="55"/>
      <c r="G17" s="55"/>
      <c r="H17" s="55"/>
      <c r="I17" s="55"/>
      <c r="J17" s="55"/>
      <c r="K17" s="57"/>
      <c r="L17" s="55"/>
      <c r="M17" s="58"/>
      <c r="N17" s="53"/>
      <c r="O17" s="13"/>
      <c r="P17" s="14"/>
      <c r="Q17" s="13"/>
      <c r="R17" s="13"/>
      <c r="S17" s="13"/>
      <c r="T17" s="29"/>
    </row>
    <row r="18" ht="15" customHeight="1">
      <c r="A18" s="38"/>
      <c r="B18" s="59"/>
      <c r="C18" s="60"/>
      <c r="D18" s="60"/>
      <c r="E18" s="60"/>
      <c r="F18" s="60"/>
      <c r="G18" s="60"/>
      <c r="H18" s="60"/>
      <c r="I18" s="61"/>
      <c r="J18" s="61"/>
      <c r="K18" s="61"/>
      <c r="L18" s="62"/>
      <c r="M18" s="63"/>
      <c r="N18" s="53"/>
      <c r="O18" s="13"/>
      <c r="P18" t="s" s="37">
        <v>4</v>
      </c>
      <c r="Q18" s="13"/>
      <c r="R18" s="13"/>
      <c r="S18" s="13"/>
      <c r="T18" s="29"/>
    </row>
    <row r="19" ht="15.75" customHeight="1">
      <c r="A19" s="38"/>
      <c r="B19" t="s" s="64">
        <v>5</v>
      </c>
      <c r="C19" s="65"/>
      <c r="D19" s="65"/>
      <c r="E19" s="65"/>
      <c r="F19" s="65"/>
      <c r="G19" s="66"/>
      <c r="H19" s="65"/>
      <c r="I19" s="67"/>
      <c r="J19" s="65"/>
      <c r="K19" s="68"/>
      <c r="L19" s="65"/>
      <c r="M19" s="69"/>
      <c r="N19" s="53"/>
      <c r="O19" s="13"/>
      <c r="P19" t="s" s="37">
        <v>6</v>
      </c>
      <c r="Q19" s="13"/>
      <c r="R19" s="13"/>
      <c r="S19" s="13"/>
      <c r="T19" s="29"/>
    </row>
    <row r="20" ht="15.75" customHeight="1">
      <c r="A20" s="38"/>
      <c r="B20" s="70"/>
      <c r="C20" s="65"/>
      <c r="D20" s="65"/>
      <c r="E20" s="65"/>
      <c r="F20" s="65"/>
      <c r="G20" s="65"/>
      <c r="H20" s="65"/>
      <c r="I20" s="67"/>
      <c r="J20" s="65"/>
      <c r="K20" s="71"/>
      <c r="L20" s="65"/>
      <c r="M20" s="69"/>
      <c r="N20" s="53"/>
      <c r="O20" s="13"/>
      <c r="P20" t="s" s="37">
        <v>7</v>
      </c>
      <c r="Q20" s="13"/>
      <c r="R20" s="13"/>
      <c r="S20" s="13"/>
      <c r="T20" s="29"/>
    </row>
    <row r="21" ht="15.75" customHeight="1">
      <c r="A21" s="38"/>
      <c r="B21" t="s" s="72">
        <v>8</v>
      </c>
      <c r="C21" s="65"/>
      <c r="D21" s="65"/>
      <c r="E21" s="65"/>
      <c r="F21" s="65"/>
      <c r="G21" t="s" s="73">
        <v>9</v>
      </c>
      <c r="H21" s="65"/>
      <c r="I21" s="74"/>
      <c r="J21" s="65"/>
      <c r="K21" s="71"/>
      <c r="L21" s="65"/>
      <c r="M21" s="69"/>
      <c r="N21" s="53"/>
      <c r="O21" s="13"/>
      <c r="P21" t="s" s="37">
        <v>10</v>
      </c>
      <c r="Q21" s="13"/>
      <c r="R21" s="13"/>
      <c r="S21" s="13"/>
      <c r="T21" s="29"/>
    </row>
    <row r="22" ht="15.75" customHeight="1">
      <c r="A22" s="38"/>
      <c r="B22" t="s" s="75">
        <v>11</v>
      </c>
      <c r="C22" s="66"/>
      <c r="D22" s="66"/>
      <c r="E22" s="66"/>
      <c r="F22" s="66"/>
      <c r="G22" s="66"/>
      <c r="H22" s="65"/>
      <c r="I22" s="65"/>
      <c r="J22" s="65"/>
      <c r="K22" s="71"/>
      <c r="L22" s="65"/>
      <c r="M22" s="69"/>
      <c r="N22" s="53"/>
      <c r="O22" s="13"/>
      <c r="P22" t="s" s="37">
        <v>12</v>
      </c>
      <c r="Q22" s="13"/>
      <c r="R22" s="13"/>
      <c r="S22" s="13"/>
      <c r="T22" s="29"/>
    </row>
    <row r="23" ht="15.75" customHeight="1">
      <c r="A23" s="38"/>
      <c r="B23" t="s" s="72">
        <v>13</v>
      </c>
      <c r="C23" s="74"/>
      <c r="D23" s="65"/>
      <c r="E23" s="65"/>
      <c r="F23" s="65"/>
      <c r="G23" t="s" s="73">
        <v>14</v>
      </c>
      <c r="H23" s="65"/>
      <c r="I23" s="65"/>
      <c r="J23" s="65"/>
      <c r="K23" s="71"/>
      <c r="L23" s="65"/>
      <c r="M23" s="69"/>
      <c r="N23" s="53"/>
      <c r="O23" s="13"/>
      <c r="P23" t="s" s="37">
        <v>15</v>
      </c>
      <c r="Q23" s="13"/>
      <c r="R23" s="13"/>
      <c r="S23" s="13"/>
      <c r="T23" s="29"/>
    </row>
    <row r="24" ht="15" customHeight="1">
      <c r="A24" s="38"/>
      <c r="B24" s="70"/>
      <c r="C24" s="65"/>
      <c r="D24" s="65"/>
      <c r="E24" s="65"/>
      <c r="F24" s="65"/>
      <c r="G24" s="65"/>
      <c r="H24" s="65"/>
      <c r="I24" s="65"/>
      <c r="J24" s="65"/>
      <c r="K24" s="76"/>
      <c r="L24" s="65"/>
      <c r="M24" s="69"/>
      <c r="N24" s="53"/>
      <c r="O24" s="13"/>
      <c r="P24" t="s" s="37">
        <v>16</v>
      </c>
      <c r="Q24" s="13"/>
      <c r="R24" s="13"/>
      <c r="S24" s="13"/>
      <c r="T24" s="29"/>
    </row>
    <row r="25" ht="15" customHeight="1">
      <c r="A25" s="38"/>
      <c r="B25" s="70"/>
      <c r="C25" s="65"/>
      <c r="D25" s="65"/>
      <c r="E25" s="65"/>
      <c r="F25" s="65"/>
      <c r="G25" s="65"/>
      <c r="H25" s="65"/>
      <c r="I25" s="65"/>
      <c r="J25" s="65"/>
      <c r="K25" s="76"/>
      <c r="L25" s="65"/>
      <c r="M25" s="69"/>
      <c r="N25" s="53"/>
      <c r="O25" s="13"/>
      <c r="P25" t="s" s="37">
        <v>17</v>
      </c>
      <c r="Q25" s="13"/>
      <c r="R25" s="13"/>
      <c r="S25" s="13"/>
      <c r="T25" s="29"/>
    </row>
    <row r="26" ht="15.75" customHeight="1">
      <c r="A26" s="38"/>
      <c r="B26" s="77"/>
      <c r="C26" s="65"/>
      <c r="D26" s="65"/>
      <c r="E26" s="65"/>
      <c r="F26" s="65"/>
      <c r="G26" s="65"/>
      <c r="H26" t="s" s="78">
        <v>18</v>
      </c>
      <c r="I26" t="s" s="73">
        <v>19</v>
      </c>
      <c r="J26" s="65"/>
      <c r="K26" s="71"/>
      <c r="L26" s="65"/>
      <c r="M26" s="69"/>
      <c r="N26" s="53"/>
      <c r="O26" s="13"/>
      <c r="P26" t="s" s="37">
        <v>20</v>
      </c>
      <c r="Q26" s="13"/>
      <c r="R26" s="13"/>
      <c r="S26" s="13"/>
      <c r="T26" s="29"/>
    </row>
    <row r="27" ht="15.75" customHeight="1">
      <c r="A27" s="38"/>
      <c r="B27" s="79"/>
      <c r="C27" s="80"/>
      <c r="D27" s="81"/>
      <c r="E27" s="81"/>
      <c r="F27" s="81"/>
      <c r="G27" s="81"/>
      <c r="H27" s="81"/>
      <c r="I27" t="s" s="82">
        <v>21</v>
      </c>
      <c r="J27" s="81"/>
      <c r="K27" s="83"/>
      <c r="L27" s="81"/>
      <c r="M27" s="84"/>
      <c r="N27" s="53"/>
      <c r="O27" s="13"/>
      <c r="P27" t="s" s="37">
        <v>22</v>
      </c>
      <c r="Q27" s="13"/>
      <c r="R27" s="13"/>
      <c r="S27" s="13"/>
      <c r="T27" s="29"/>
    </row>
    <row r="28" ht="15.75" customHeight="1">
      <c r="A28" s="11"/>
      <c r="B28" t="s" s="85">
        <v>23</v>
      </c>
      <c r="C28" s="86"/>
      <c r="D28" s="86"/>
      <c r="E28" s="86"/>
      <c r="F28" s="86"/>
      <c r="G28" s="86"/>
      <c r="H28" s="86"/>
      <c r="I28" s="86"/>
      <c r="J28" s="86"/>
      <c r="K28" s="87"/>
      <c r="L28" s="86"/>
      <c r="M28" t="s" s="88">
        <v>24</v>
      </c>
      <c r="N28" s="17"/>
      <c r="O28" s="13"/>
      <c r="P28" s="14"/>
      <c r="Q28" s="13"/>
      <c r="R28" s="13"/>
      <c r="S28" s="13"/>
      <c r="T28" s="29"/>
    </row>
    <row r="29" ht="15" customHeight="1">
      <c r="A29" s="11"/>
      <c r="B29" s="13"/>
      <c r="C29" s="13"/>
      <c r="D29" s="13"/>
      <c r="E29" s="13"/>
      <c r="F29" s="13"/>
      <c r="G29" s="13"/>
      <c r="H29" s="13"/>
      <c r="I29" s="13"/>
      <c r="J29" s="13"/>
      <c r="K29" s="13"/>
      <c r="L29" s="13"/>
      <c r="M29" s="13"/>
      <c r="N29" s="13"/>
      <c r="O29" s="13"/>
      <c r="P29" s="14"/>
      <c r="Q29" s="13"/>
      <c r="R29" s="13"/>
      <c r="S29" s="13"/>
      <c r="T29" s="29"/>
    </row>
    <row r="30" ht="15.75" customHeight="1">
      <c r="A30" s="89"/>
      <c r="B30" s="90"/>
      <c r="C30" s="91"/>
      <c r="D30" s="91"/>
      <c r="E30" s="91"/>
      <c r="F30" s="91"/>
      <c r="G30" s="91"/>
      <c r="H30" s="17"/>
      <c r="I30" s="17"/>
      <c r="J30" s="17"/>
      <c r="K30" s="17"/>
      <c r="L30" s="17"/>
      <c r="M30" s="17"/>
      <c r="N30" s="17"/>
      <c r="O30" s="17"/>
      <c r="P30" t="s" s="92">
        <v>25</v>
      </c>
      <c r="Q30" s="93"/>
      <c r="R30" s="13"/>
      <c r="S30" s="13"/>
      <c r="T30" s="29"/>
    </row>
    <row r="31" ht="15" customHeight="1">
      <c r="A31" s="89"/>
      <c r="B31" t="s" s="94">
        <v>26</v>
      </c>
      <c r="C31" s="91"/>
      <c r="D31" s="91"/>
      <c r="E31" s="91"/>
      <c r="F31" s="91"/>
      <c r="G31" s="91"/>
      <c r="H31" s="17"/>
      <c r="I31" s="17"/>
      <c r="J31" s="17"/>
      <c r="K31" s="17"/>
      <c r="L31" s="17"/>
      <c r="M31" s="17"/>
      <c r="N31" s="17"/>
      <c r="O31" s="17"/>
      <c r="P31" t="s" s="37">
        <v>27</v>
      </c>
      <c r="Q31" s="95"/>
      <c r="R31" s="13"/>
      <c r="S31" s="13"/>
      <c r="T31" s="29"/>
    </row>
    <row r="32" ht="15" customHeight="1">
      <c r="A32" s="89"/>
      <c r="B32" t="s" s="94">
        <v>28</v>
      </c>
      <c r="C32" s="91"/>
      <c r="D32" s="91"/>
      <c r="E32" s="91"/>
      <c r="F32" s="91"/>
      <c r="G32" s="91"/>
      <c r="H32" s="17"/>
      <c r="I32" s="17"/>
      <c r="J32" s="17"/>
      <c r="K32" s="17"/>
      <c r="L32" s="17"/>
      <c r="M32" s="17"/>
      <c r="N32" s="17"/>
      <c r="O32" s="17"/>
      <c r="P32" t="s" s="37">
        <v>29</v>
      </c>
      <c r="Q32" s="95"/>
      <c r="R32" s="13"/>
      <c r="S32" s="13"/>
      <c r="T32" s="29"/>
    </row>
    <row r="33" ht="15" customHeight="1">
      <c r="A33" s="89"/>
      <c r="B33" s="91"/>
      <c r="C33" s="91"/>
      <c r="D33" s="91"/>
      <c r="E33" s="91"/>
      <c r="F33" s="91"/>
      <c r="G33" s="91"/>
      <c r="H33" s="17"/>
      <c r="I33" s="17"/>
      <c r="J33" s="17"/>
      <c r="K33" s="17"/>
      <c r="L33" s="17"/>
      <c r="M33" s="17"/>
      <c r="N33" s="17"/>
      <c r="O33" s="17"/>
      <c r="P33" t="s" s="37">
        <v>30</v>
      </c>
      <c r="Q33" s="95"/>
      <c r="R33" s="13"/>
      <c r="S33" s="13"/>
      <c r="T33" s="29"/>
    </row>
    <row r="34" ht="15" customHeight="1">
      <c r="A34" s="89"/>
      <c r="B34" s="17"/>
      <c r="C34" s="17"/>
      <c r="D34" s="17"/>
      <c r="E34" s="17"/>
      <c r="F34" s="17"/>
      <c r="G34" s="17"/>
      <c r="H34" s="17"/>
      <c r="I34" s="17"/>
      <c r="J34" s="17"/>
      <c r="K34" s="17"/>
      <c r="L34" s="17"/>
      <c r="M34" s="17"/>
      <c r="N34" s="17"/>
      <c r="O34" s="17"/>
      <c r="P34" t="s" s="37">
        <v>31</v>
      </c>
      <c r="Q34" s="95"/>
      <c r="R34" s="13"/>
      <c r="S34" s="13"/>
      <c r="T34" s="29"/>
    </row>
    <row r="35" ht="15" customHeight="1">
      <c r="A35" s="89"/>
      <c r="B35" s="17"/>
      <c r="C35" s="17"/>
      <c r="D35" s="17"/>
      <c r="E35" s="17"/>
      <c r="F35" s="17"/>
      <c r="G35" s="17"/>
      <c r="H35" s="17"/>
      <c r="I35" s="17"/>
      <c r="J35" s="17"/>
      <c r="K35" s="17"/>
      <c r="L35" s="17"/>
      <c r="M35" s="17"/>
      <c r="N35" s="17"/>
      <c r="O35" s="17"/>
      <c r="P35" t="s" s="37">
        <v>32</v>
      </c>
      <c r="Q35" s="95"/>
      <c r="R35" s="13"/>
      <c r="S35" s="13"/>
      <c r="T35" s="29"/>
    </row>
    <row r="36" ht="15" customHeight="1">
      <c r="A36" s="89"/>
      <c r="B36" s="17"/>
      <c r="C36" s="17"/>
      <c r="D36" s="17"/>
      <c r="E36" s="17"/>
      <c r="F36" s="17"/>
      <c r="G36" s="17"/>
      <c r="H36" s="17"/>
      <c r="I36" s="17"/>
      <c r="J36" s="17"/>
      <c r="K36" s="17"/>
      <c r="L36" s="17"/>
      <c r="M36" s="17"/>
      <c r="N36" s="17"/>
      <c r="O36" s="17"/>
      <c r="P36" t="s" s="37">
        <v>33</v>
      </c>
      <c r="Q36" s="95"/>
      <c r="R36" s="13"/>
      <c r="S36" s="13"/>
      <c r="T36" s="29"/>
    </row>
    <row r="37" ht="15" customHeight="1">
      <c r="A37" s="89"/>
      <c r="B37" s="17"/>
      <c r="C37" s="17"/>
      <c r="D37" s="17"/>
      <c r="E37" s="17"/>
      <c r="F37" s="17"/>
      <c r="G37" s="17"/>
      <c r="H37" s="17"/>
      <c r="I37" s="17"/>
      <c r="J37" s="17"/>
      <c r="K37" s="17"/>
      <c r="L37" s="17"/>
      <c r="M37" s="17"/>
      <c r="N37" s="17"/>
      <c r="O37" s="17"/>
      <c r="P37" t="s" s="37">
        <v>34</v>
      </c>
      <c r="Q37" s="95"/>
      <c r="R37" s="13"/>
      <c r="S37" s="13"/>
      <c r="T37" s="29"/>
    </row>
    <row r="38" ht="15" customHeight="1">
      <c r="A38" s="89"/>
      <c r="B38" s="17"/>
      <c r="C38" s="17"/>
      <c r="D38" s="17"/>
      <c r="E38" s="17"/>
      <c r="F38" s="17"/>
      <c r="G38" s="17"/>
      <c r="H38" s="17"/>
      <c r="I38" s="17"/>
      <c r="J38" s="17"/>
      <c r="K38" s="17"/>
      <c r="L38" s="17"/>
      <c r="M38" s="17"/>
      <c r="N38" s="17"/>
      <c r="O38" s="17"/>
      <c r="P38" t="s" s="37">
        <v>35</v>
      </c>
      <c r="Q38" s="95"/>
      <c r="R38" s="13"/>
      <c r="S38" s="13"/>
      <c r="T38" s="29"/>
    </row>
    <row r="39" ht="15" customHeight="1">
      <c r="A39" s="89"/>
      <c r="B39" s="17"/>
      <c r="C39" s="17"/>
      <c r="D39" s="17"/>
      <c r="E39" s="17"/>
      <c r="F39" s="17"/>
      <c r="G39" s="17"/>
      <c r="H39" s="17"/>
      <c r="I39" s="17"/>
      <c r="J39" s="17"/>
      <c r="K39" s="17"/>
      <c r="L39" s="17"/>
      <c r="M39" s="17"/>
      <c r="N39" s="17"/>
      <c r="O39" s="17"/>
      <c r="P39" t="s" s="37">
        <v>36</v>
      </c>
      <c r="Q39" s="95"/>
      <c r="R39" s="13"/>
      <c r="S39" s="96"/>
      <c r="T39" s="97"/>
    </row>
    <row r="40" ht="15" customHeight="1">
      <c r="A40" s="89"/>
      <c r="B40" s="17"/>
      <c r="C40" s="17"/>
      <c r="D40" s="17"/>
      <c r="E40" s="17"/>
      <c r="F40" s="17"/>
      <c r="G40" s="17"/>
      <c r="H40" s="17"/>
      <c r="I40" s="17"/>
      <c r="J40" s="17"/>
      <c r="K40" s="17"/>
      <c r="L40" s="17"/>
      <c r="M40" s="17"/>
      <c r="N40" s="17"/>
      <c r="O40" s="17"/>
      <c r="P40" t="s" s="37">
        <v>37</v>
      </c>
      <c r="Q40" s="95"/>
      <c r="R40" s="13"/>
      <c r="S40" s="13"/>
      <c r="T40" s="29"/>
    </row>
    <row r="41" ht="15" customHeight="1">
      <c r="A41" s="89"/>
      <c r="B41" s="17"/>
      <c r="C41" s="17"/>
      <c r="D41" s="17"/>
      <c r="E41" s="17"/>
      <c r="F41" s="17"/>
      <c r="G41" s="17"/>
      <c r="H41" s="17"/>
      <c r="I41" s="17"/>
      <c r="J41" s="17"/>
      <c r="K41" s="17"/>
      <c r="L41" s="17"/>
      <c r="M41" s="17"/>
      <c r="N41" s="17"/>
      <c r="O41" s="17"/>
      <c r="P41" t="s" s="37">
        <v>38</v>
      </c>
      <c r="Q41" s="95"/>
      <c r="R41" s="13"/>
      <c r="S41" s="13"/>
      <c r="T41" s="29"/>
    </row>
    <row r="42" ht="15" customHeight="1">
      <c r="A42" s="89"/>
      <c r="B42" s="17"/>
      <c r="C42" s="17"/>
      <c r="D42" s="17"/>
      <c r="E42" s="17"/>
      <c r="F42" s="17"/>
      <c r="G42" s="17"/>
      <c r="H42" s="17"/>
      <c r="I42" s="17"/>
      <c r="J42" s="17"/>
      <c r="K42" s="17"/>
      <c r="L42" s="17"/>
      <c r="M42" s="17"/>
      <c r="N42" s="17"/>
      <c r="O42" s="17"/>
      <c r="P42" t="s" s="37">
        <v>39</v>
      </c>
      <c r="Q42" s="95"/>
      <c r="R42" s="13"/>
      <c r="S42" s="13"/>
      <c r="T42" s="29"/>
    </row>
    <row r="43" ht="15" customHeight="1">
      <c r="A43" s="89"/>
      <c r="B43" s="17"/>
      <c r="C43" s="17"/>
      <c r="D43" s="17"/>
      <c r="E43" s="17"/>
      <c r="F43" s="17"/>
      <c r="G43" s="17"/>
      <c r="H43" s="17"/>
      <c r="I43" s="17"/>
      <c r="J43" s="17"/>
      <c r="K43" s="17"/>
      <c r="L43" s="17"/>
      <c r="M43" s="17"/>
      <c r="N43" s="17"/>
      <c r="O43" s="17"/>
      <c r="P43" t="s" s="37">
        <v>40</v>
      </c>
      <c r="Q43" s="95"/>
      <c r="R43" s="13"/>
      <c r="S43" s="13"/>
      <c r="T43" s="29"/>
    </row>
    <row r="44" ht="15" customHeight="1">
      <c r="A44" s="89"/>
      <c r="B44" s="17"/>
      <c r="C44" s="17"/>
      <c r="D44" s="17"/>
      <c r="E44" s="17"/>
      <c r="F44" s="17"/>
      <c r="G44" s="17"/>
      <c r="H44" s="17"/>
      <c r="I44" s="17"/>
      <c r="J44" s="17"/>
      <c r="K44" s="17"/>
      <c r="L44" s="17"/>
      <c r="M44" s="17"/>
      <c r="N44" s="17"/>
      <c r="O44" s="17"/>
      <c r="P44" t="s" s="37">
        <v>41</v>
      </c>
      <c r="Q44" s="95"/>
      <c r="R44" s="13"/>
      <c r="S44" s="13"/>
      <c r="T44" s="29"/>
    </row>
    <row r="45" ht="15" customHeight="1">
      <c r="A45" s="89"/>
      <c r="B45" s="17"/>
      <c r="C45" s="17"/>
      <c r="D45" s="17"/>
      <c r="E45" s="17"/>
      <c r="F45" s="17"/>
      <c r="G45" s="17"/>
      <c r="H45" s="17"/>
      <c r="I45" s="17"/>
      <c r="J45" s="17"/>
      <c r="K45" s="17"/>
      <c r="L45" s="17"/>
      <c r="M45" s="17"/>
      <c r="N45" s="17"/>
      <c r="O45" s="17"/>
      <c r="P45" t="s" s="37">
        <v>42</v>
      </c>
      <c r="Q45" s="95"/>
      <c r="R45" s="13"/>
      <c r="S45" s="13"/>
      <c r="T45" s="29"/>
    </row>
    <row r="46" ht="15" customHeight="1">
      <c r="A46" s="89"/>
      <c r="B46" s="17"/>
      <c r="C46" s="17"/>
      <c r="D46" s="17"/>
      <c r="E46" s="17"/>
      <c r="F46" s="17"/>
      <c r="G46" s="17"/>
      <c r="H46" s="17"/>
      <c r="I46" s="17"/>
      <c r="J46" s="17"/>
      <c r="K46" s="17"/>
      <c r="L46" s="17"/>
      <c r="M46" s="17"/>
      <c r="N46" s="17"/>
      <c r="O46" s="17"/>
      <c r="P46" t="s" s="37">
        <v>43</v>
      </c>
      <c r="Q46" s="95"/>
      <c r="R46" s="13"/>
      <c r="S46" s="13"/>
      <c r="T46" s="29"/>
    </row>
    <row r="47" ht="15" customHeight="1">
      <c r="A47" s="89"/>
      <c r="B47" s="17"/>
      <c r="C47" s="17"/>
      <c r="D47" s="17"/>
      <c r="E47" s="17"/>
      <c r="F47" s="17"/>
      <c r="G47" s="17"/>
      <c r="H47" s="17"/>
      <c r="I47" s="17"/>
      <c r="J47" s="17"/>
      <c r="K47" s="17"/>
      <c r="L47" s="17"/>
      <c r="M47" s="17"/>
      <c r="N47" s="17"/>
      <c r="O47" s="17"/>
      <c r="P47" t="s" s="37">
        <v>44</v>
      </c>
      <c r="Q47" s="13"/>
      <c r="R47" s="13"/>
      <c r="S47" s="13"/>
      <c r="T47" s="29"/>
    </row>
    <row r="48" ht="15.75" customHeight="1">
      <c r="A48" s="89"/>
      <c r="B48" s="17"/>
      <c r="C48" s="17"/>
      <c r="D48" s="17"/>
      <c r="E48" s="17"/>
      <c r="F48" s="17"/>
      <c r="G48" s="17"/>
      <c r="H48" s="17"/>
      <c r="I48" s="17"/>
      <c r="J48" s="17"/>
      <c r="K48" s="17"/>
      <c r="L48" s="17"/>
      <c r="M48" s="17"/>
      <c r="N48" s="17"/>
      <c r="O48" s="17"/>
      <c r="P48" t="s" s="92">
        <v>45</v>
      </c>
      <c r="Q48" s="13"/>
      <c r="R48" s="13"/>
      <c r="S48" s="13"/>
      <c r="T48" s="29"/>
    </row>
    <row r="49" ht="15" customHeight="1">
      <c r="A49" s="89"/>
      <c r="B49" s="17"/>
      <c r="C49" s="17"/>
      <c r="D49" s="17"/>
      <c r="E49" s="17"/>
      <c r="F49" s="17"/>
      <c r="G49" s="17"/>
      <c r="H49" s="17"/>
      <c r="I49" s="17"/>
      <c r="J49" s="17"/>
      <c r="K49" s="17"/>
      <c r="L49" s="17"/>
      <c r="M49" s="17"/>
      <c r="N49" s="17"/>
      <c r="O49" s="17"/>
      <c r="P49" s="98"/>
      <c r="Q49" s="93"/>
      <c r="R49" s="13"/>
      <c r="S49" s="13"/>
      <c r="T49" s="29"/>
    </row>
    <row r="50" ht="15" customHeight="1">
      <c r="A50" s="89"/>
      <c r="B50" s="17"/>
      <c r="C50" s="17"/>
      <c r="D50" s="17"/>
      <c r="E50" s="17"/>
      <c r="F50" s="17"/>
      <c r="G50" s="17"/>
      <c r="H50" s="17"/>
      <c r="I50" s="17"/>
      <c r="J50" s="17"/>
      <c r="K50" s="17"/>
      <c r="L50" s="17"/>
      <c r="M50" s="17"/>
      <c r="N50" s="17"/>
      <c r="O50" s="17"/>
      <c r="P50" t="s" s="37">
        <v>46</v>
      </c>
      <c r="Q50" s="95"/>
      <c r="R50" s="13"/>
      <c r="S50" s="13"/>
      <c r="T50" s="29"/>
    </row>
    <row r="51" ht="15" customHeight="1">
      <c r="A51" s="89"/>
      <c r="B51" s="17"/>
      <c r="C51" s="17"/>
      <c r="D51" s="17"/>
      <c r="E51" s="17"/>
      <c r="F51" s="17"/>
      <c r="G51" s="17"/>
      <c r="H51" s="17"/>
      <c r="I51" s="17"/>
      <c r="J51" s="17"/>
      <c r="K51" s="17"/>
      <c r="L51" s="17"/>
      <c r="M51" s="17"/>
      <c r="N51" s="17"/>
      <c r="O51" s="17"/>
      <c r="P51" t="s" s="37">
        <v>47</v>
      </c>
      <c r="Q51" s="95"/>
      <c r="R51" s="13"/>
      <c r="S51" s="13"/>
      <c r="T51" s="29"/>
    </row>
    <row r="52" ht="15" customHeight="1">
      <c r="A52" s="89"/>
      <c r="B52" s="17"/>
      <c r="C52" s="17"/>
      <c r="D52" s="17"/>
      <c r="E52" s="17"/>
      <c r="F52" s="17"/>
      <c r="G52" s="17"/>
      <c r="H52" s="17"/>
      <c r="I52" s="17"/>
      <c r="J52" s="17"/>
      <c r="K52" s="17"/>
      <c r="L52" s="17"/>
      <c r="M52" s="17"/>
      <c r="N52" s="17"/>
      <c r="O52" s="17"/>
      <c r="P52" t="s" s="37">
        <v>48</v>
      </c>
      <c r="Q52" s="95"/>
      <c r="R52" s="13"/>
      <c r="S52" s="13"/>
      <c r="T52" s="29"/>
    </row>
    <row r="53" ht="15" customHeight="1">
      <c r="A53" s="89"/>
      <c r="B53" s="17"/>
      <c r="C53" s="17"/>
      <c r="D53" s="17"/>
      <c r="E53" s="17"/>
      <c r="F53" s="17"/>
      <c r="G53" s="17"/>
      <c r="H53" s="17"/>
      <c r="I53" s="17"/>
      <c r="J53" s="17"/>
      <c r="K53" s="17"/>
      <c r="L53" s="17"/>
      <c r="M53" s="17"/>
      <c r="N53" s="17"/>
      <c r="O53" s="17"/>
      <c r="P53" t="s" s="37">
        <v>49</v>
      </c>
      <c r="Q53" s="95"/>
      <c r="R53" s="13"/>
      <c r="S53" s="13"/>
      <c r="T53" s="29"/>
    </row>
    <row r="54" ht="15" customHeight="1">
      <c r="A54" s="89"/>
      <c r="B54" s="17"/>
      <c r="C54" s="17"/>
      <c r="D54" s="17"/>
      <c r="E54" s="17"/>
      <c r="F54" s="17"/>
      <c r="G54" s="17"/>
      <c r="H54" s="17"/>
      <c r="I54" s="17"/>
      <c r="J54" s="17"/>
      <c r="K54" s="17"/>
      <c r="L54" s="17"/>
      <c r="M54" s="17"/>
      <c r="N54" s="17"/>
      <c r="O54" s="17"/>
      <c r="P54" t="s" s="37">
        <v>50</v>
      </c>
      <c r="Q54" s="95"/>
      <c r="R54" s="13"/>
      <c r="S54" s="13"/>
      <c r="T54" s="29"/>
    </row>
    <row r="55" ht="15" customHeight="1">
      <c r="A55" s="89"/>
      <c r="B55" s="17"/>
      <c r="C55" s="17"/>
      <c r="D55" s="17"/>
      <c r="E55" s="17"/>
      <c r="F55" s="17"/>
      <c r="G55" s="17"/>
      <c r="H55" s="17"/>
      <c r="I55" s="17"/>
      <c r="J55" s="17"/>
      <c r="K55" s="17"/>
      <c r="L55" s="17"/>
      <c r="M55" s="17"/>
      <c r="N55" s="17"/>
      <c r="O55" s="17"/>
      <c r="P55" t="s" s="37">
        <v>51</v>
      </c>
      <c r="Q55" s="95"/>
      <c r="R55" s="13"/>
      <c r="S55" s="13"/>
      <c r="T55" s="29"/>
    </row>
    <row r="56" ht="15" customHeight="1">
      <c r="A56" s="89"/>
      <c r="B56" s="17"/>
      <c r="C56" s="17"/>
      <c r="D56" s="17"/>
      <c r="E56" s="17"/>
      <c r="F56" s="17"/>
      <c r="G56" s="17"/>
      <c r="H56" s="17"/>
      <c r="I56" s="17"/>
      <c r="J56" s="17"/>
      <c r="K56" s="17"/>
      <c r="L56" s="17"/>
      <c r="M56" s="17"/>
      <c r="N56" s="17"/>
      <c r="O56" s="17"/>
      <c r="P56" t="s" s="37">
        <v>52</v>
      </c>
      <c r="Q56" s="93"/>
      <c r="R56" s="13"/>
      <c r="S56" s="13"/>
      <c r="T56" s="29"/>
    </row>
    <row r="57" ht="15.75" customHeight="1">
      <c r="A57" s="89"/>
      <c r="B57" s="17"/>
      <c r="C57" s="17"/>
      <c r="D57" s="17"/>
      <c r="E57" s="17"/>
      <c r="F57" s="17"/>
      <c r="G57" s="17"/>
      <c r="H57" s="17"/>
      <c r="I57" s="17"/>
      <c r="J57" s="17"/>
      <c r="K57" s="17"/>
      <c r="L57" s="17"/>
      <c r="M57" s="17"/>
      <c r="N57" s="17"/>
      <c r="O57" s="17"/>
      <c r="P57" s="99"/>
      <c r="Q57" s="95"/>
      <c r="R57" s="13"/>
      <c r="S57" s="13"/>
      <c r="T57" s="29"/>
    </row>
    <row r="58" ht="15" customHeight="1">
      <c r="A58" s="89"/>
      <c r="B58" s="17"/>
      <c r="C58" s="17"/>
      <c r="D58" s="17"/>
      <c r="E58" s="17"/>
      <c r="F58" s="17"/>
      <c r="G58" s="17"/>
      <c r="H58" s="17"/>
      <c r="I58" s="17"/>
      <c r="J58" s="17"/>
      <c r="K58" s="17"/>
      <c r="L58" s="17"/>
      <c r="M58" s="17"/>
      <c r="N58" s="17"/>
      <c r="O58" s="17"/>
      <c r="P58" t="s" s="37">
        <v>53</v>
      </c>
      <c r="Q58" s="95"/>
      <c r="R58" s="13"/>
      <c r="S58" s="13"/>
      <c r="T58" s="29"/>
    </row>
    <row r="59" ht="15" customHeight="1">
      <c r="A59" s="89"/>
      <c r="B59" s="17"/>
      <c r="C59" s="17"/>
      <c r="D59" s="17"/>
      <c r="E59" s="17"/>
      <c r="F59" s="17"/>
      <c r="G59" s="17"/>
      <c r="H59" s="17"/>
      <c r="I59" s="17"/>
      <c r="J59" s="17"/>
      <c r="K59" s="17"/>
      <c r="L59" s="17"/>
      <c r="M59" s="17"/>
      <c r="N59" s="17"/>
      <c r="O59" s="17"/>
      <c r="P59" t="s" s="37">
        <v>54</v>
      </c>
      <c r="Q59" s="95"/>
      <c r="R59" s="13"/>
      <c r="S59" s="13"/>
      <c r="T59" s="29"/>
    </row>
    <row r="60" ht="15" customHeight="1">
      <c r="A60" s="89"/>
      <c r="B60" s="17"/>
      <c r="C60" s="17"/>
      <c r="D60" s="17"/>
      <c r="E60" s="17"/>
      <c r="F60" s="17"/>
      <c r="G60" s="17"/>
      <c r="H60" s="17"/>
      <c r="I60" s="17"/>
      <c r="J60" s="17"/>
      <c r="K60" s="17"/>
      <c r="L60" s="17"/>
      <c r="M60" s="17"/>
      <c r="N60" s="17"/>
      <c r="O60" s="17"/>
      <c r="P60" t="s" s="37">
        <v>55</v>
      </c>
      <c r="Q60" s="95"/>
      <c r="R60" s="13"/>
      <c r="S60" s="13"/>
      <c r="T60" s="29"/>
    </row>
    <row r="61" ht="15" customHeight="1">
      <c r="A61" s="89"/>
      <c r="B61" s="17"/>
      <c r="C61" s="17"/>
      <c r="D61" s="17"/>
      <c r="E61" s="17"/>
      <c r="F61" s="17"/>
      <c r="G61" s="17"/>
      <c r="H61" s="17"/>
      <c r="I61" s="17"/>
      <c r="J61" s="17"/>
      <c r="K61" s="17"/>
      <c r="L61" s="17"/>
      <c r="M61" s="17"/>
      <c r="N61" s="17"/>
      <c r="O61" s="17"/>
      <c r="P61" t="s" s="37">
        <v>56</v>
      </c>
      <c r="Q61" s="95"/>
      <c r="R61" s="13"/>
      <c r="S61" s="13"/>
      <c r="T61" s="29"/>
    </row>
    <row r="62" ht="15" customHeight="1">
      <c r="A62" s="89"/>
      <c r="B62" s="17"/>
      <c r="C62" s="17"/>
      <c r="D62" s="17"/>
      <c r="E62" s="17"/>
      <c r="F62" s="17"/>
      <c r="G62" s="17"/>
      <c r="H62" s="17"/>
      <c r="I62" s="17"/>
      <c r="J62" s="17"/>
      <c r="K62" s="17"/>
      <c r="L62" s="17"/>
      <c r="M62" s="17"/>
      <c r="N62" s="17"/>
      <c r="O62" s="17"/>
      <c r="P62" t="s" s="37">
        <v>57</v>
      </c>
      <c r="Q62" s="95"/>
      <c r="R62" s="13"/>
      <c r="S62" s="13"/>
      <c r="T62" s="29"/>
    </row>
    <row r="63" ht="15" customHeight="1">
      <c r="A63" s="89"/>
      <c r="B63" s="17"/>
      <c r="C63" s="17"/>
      <c r="D63" s="17"/>
      <c r="E63" s="17"/>
      <c r="F63" s="17"/>
      <c r="G63" s="17"/>
      <c r="H63" s="17"/>
      <c r="I63" s="17"/>
      <c r="J63" s="17"/>
      <c r="K63" s="17"/>
      <c r="L63" s="17"/>
      <c r="M63" s="17"/>
      <c r="N63" s="17"/>
      <c r="O63" s="17"/>
      <c r="P63" t="s" s="37">
        <v>58</v>
      </c>
      <c r="Q63" s="13"/>
      <c r="R63" s="13"/>
      <c r="S63" s="13"/>
      <c r="T63" s="29"/>
    </row>
    <row r="64" ht="15" customHeight="1">
      <c r="A64" s="89"/>
      <c r="B64" s="17"/>
      <c r="C64" s="17"/>
      <c r="D64" s="17"/>
      <c r="E64" s="17"/>
      <c r="F64" s="17"/>
      <c r="G64" s="17"/>
      <c r="H64" s="17"/>
      <c r="I64" s="17"/>
      <c r="J64" s="17"/>
      <c r="K64" s="17"/>
      <c r="L64" s="17"/>
      <c r="M64" s="17"/>
      <c r="N64" s="17"/>
      <c r="O64" s="17"/>
      <c r="P64" s="14"/>
      <c r="Q64" s="13"/>
      <c r="R64" s="13"/>
      <c r="S64" s="13"/>
      <c r="T64" s="29"/>
    </row>
    <row r="65" ht="15" customHeight="1">
      <c r="A65" s="11"/>
      <c r="B65" s="13"/>
      <c r="C65" s="13"/>
      <c r="D65" s="13"/>
      <c r="E65" s="13"/>
      <c r="F65" s="13"/>
      <c r="G65" s="13"/>
      <c r="H65" s="13"/>
      <c r="I65" s="13"/>
      <c r="J65" s="13"/>
      <c r="K65" s="13"/>
      <c r="L65" s="13"/>
      <c r="M65" s="13"/>
      <c r="N65" s="13"/>
      <c r="O65" s="13"/>
      <c r="P65" s="14"/>
      <c r="Q65" s="13"/>
      <c r="R65" s="13"/>
      <c r="S65" s="13"/>
      <c r="T65" s="29"/>
    </row>
    <row r="66" ht="15" customHeight="1">
      <c r="A66" s="11"/>
      <c r="B66" s="13"/>
      <c r="C66" s="13"/>
      <c r="D66" s="13"/>
      <c r="E66" s="13"/>
      <c r="F66" s="13"/>
      <c r="G66" s="13"/>
      <c r="H66" s="13"/>
      <c r="I66" s="13"/>
      <c r="J66" s="13"/>
      <c r="K66" s="13"/>
      <c r="L66" s="13"/>
      <c r="M66" s="13"/>
      <c r="N66" s="13"/>
      <c r="O66" s="13"/>
      <c r="P66" s="14"/>
      <c r="Q66" s="13"/>
      <c r="R66" s="13"/>
      <c r="S66" s="13"/>
      <c r="T66" s="29"/>
    </row>
    <row r="67" ht="15" customHeight="1">
      <c r="A67" s="100"/>
      <c r="B67" s="101"/>
      <c r="C67" s="101"/>
      <c r="D67" s="101"/>
      <c r="E67" s="101"/>
      <c r="F67" s="101"/>
      <c r="G67" s="101"/>
      <c r="H67" s="101"/>
      <c r="I67" s="101"/>
      <c r="J67" s="101"/>
      <c r="K67" s="101"/>
      <c r="L67" s="101"/>
      <c r="M67" s="101"/>
      <c r="N67" s="101"/>
      <c r="O67" s="101"/>
      <c r="P67" s="102"/>
      <c r="Q67" s="101"/>
      <c r="R67" s="101"/>
      <c r="S67" s="101"/>
      <c r="T67" s="103"/>
    </row>
  </sheetData>
  <mergeCells count="3">
    <mergeCell ref="M28:N28"/>
    <mergeCell ref="A13:K14"/>
    <mergeCell ref="B3:L4"/>
  </mergeCells>
  <hyperlinks>
    <hyperlink ref="G21" r:id="rId1" location="" tooltip="" display=""/>
    <hyperlink ref="G23" r:id="rId2" location="" tooltip="" display=""/>
    <hyperlink ref="I26" r:id="rId3" location="" tooltip="" display=""/>
    <hyperlink ref="I27" r:id="rId4" location="" tooltip="" display=""/>
  </hyperlinks>
  <pageMargins left="0.7" right="0.7" top="0.75" bottom="0.75" header="0.3" footer="0.3"/>
  <pageSetup firstPageNumber="1" fitToHeight="1" fitToWidth="1" scale="100" useFirstPageNumber="0" orientation="portrait" pageOrder="downThenOver"/>
  <headerFooter>
    <oddFooter>&amp;C&amp;"Helvetica Neue,Regular"&amp;12&amp;K000000&amp;P</oddFooter>
  </headerFooter>
  <drawing r:id="rId5"/>
</worksheet>
</file>

<file path=xl/worksheets/sheet2.xml><?xml version="1.0" encoding="utf-8"?>
<worksheet xmlns:r="http://schemas.openxmlformats.org/officeDocument/2006/relationships" xmlns="http://schemas.openxmlformats.org/spreadsheetml/2006/main">
  <dimension ref="A1:AC158"/>
  <sheetViews>
    <sheetView workbookViewId="0" showGridLines="0" defaultGridColor="1"/>
  </sheetViews>
  <sheetFormatPr defaultColWidth="8.83333" defaultRowHeight="15" customHeight="1" outlineLevelRow="0" outlineLevelCol="0"/>
  <cols>
    <col min="1" max="1" width="5" style="104" customWidth="1"/>
    <col min="2" max="4" width="14" style="104" customWidth="1"/>
    <col min="5" max="10" width="15.1719" style="104" customWidth="1"/>
    <col min="11" max="11" width="14" style="104" customWidth="1"/>
    <col min="12" max="12" width="9.17188" style="104" customWidth="1"/>
    <col min="13" max="13" width="18.1719" style="104" customWidth="1"/>
    <col min="14" max="14" width="9.17188" style="104" customWidth="1"/>
    <col min="15" max="15" width="16" style="104" customWidth="1"/>
    <col min="16" max="16" width="9.17188" style="104" customWidth="1"/>
    <col min="17" max="17" width="19.1719" style="104" customWidth="1"/>
    <col min="18" max="29" width="9.17188" style="104" customWidth="1"/>
    <col min="30" max="256" width="8.85156" style="104" customWidth="1"/>
  </cols>
  <sheetData>
    <row r="1" ht="15.75" customHeight="1">
      <c r="A1" s="105"/>
      <c r="B1" s="106"/>
      <c r="C1" s="106"/>
      <c r="D1" s="106"/>
      <c r="E1" s="106"/>
      <c r="F1" s="106"/>
      <c r="G1" s="107"/>
      <c r="H1" s="107"/>
      <c r="I1" s="107"/>
      <c r="J1" s="107"/>
      <c r="K1" s="107"/>
      <c r="L1" s="108"/>
      <c r="M1" s="109"/>
      <c r="N1" s="110"/>
      <c r="O1" s="110"/>
      <c r="P1" s="108"/>
      <c r="Q1" s="111"/>
      <c r="R1" s="111"/>
      <c r="S1" s="108"/>
      <c r="T1" s="112"/>
      <c r="U1" s="112"/>
      <c r="V1" s="112"/>
      <c r="W1" s="112"/>
      <c r="X1" s="112"/>
      <c r="Y1" s="112"/>
      <c r="Z1" s="112"/>
      <c r="AA1" s="112"/>
      <c r="AB1" s="112"/>
      <c r="AC1" s="113"/>
    </row>
    <row r="2" ht="16.5" customHeight="1">
      <c r="A2" s="114"/>
      <c r="B2" s="115"/>
      <c r="C2" s="115"/>
      <c r="D2" s="115"/>
      <c r="E2" s="115"/>
      <c r="F2" s="115"/>
      <c r="G2" s="74"/>
      <c r="H2" s="74"/>
      <c r="I2" t="s" s="116">
        <v>59</v>
      </c>
      <c r="J2" s="117"/>
      <c r="K2" s="117"/>
      <c r="L2" s="118"/>
      <c r="M2" s="119">
        <f>IF(VLOOKUP(G16,'System Inputs'!A2:O39,15)="",G17+G21,VLOOKUP(G16,'System Inputs'!A2:O39,15)+G21)</f>
        <v>43451</v>
      </c>
      <c r="N2" s="120"/>
      <c r="O2" s="120"/>
      <c r="P2" s="118"/>
      <c r="Q2" s="118"/>
      <c r="R2" s="121"/>
      <c r="S2" s="118"/>
      <c r="T2" s="122"/>
      <c r="U2" s="123"/>
      <c r="V2" s="123"/>
      <c r="W2" s="123"/>
      <c r="X2" s="123"/>
      <c r="Y2" s="123"/>
      <c r="Z2" s="123"/>
      <c r="AA2" s="123"/>
      <c r="AB2" s="123"/>
      <c r="AC2" s="124"/>
    </row>
    <row r="3" ht="16.5" customHeight="1">
      <c r="A3" s="125"/>
      <c r="B3" s="74"/>
      <c r="C3" s="74"/>
      <c r="D3" s="74"/>
      <c r="E3" s="74"/>
      <c r="F3" s="74"/>
      <c r="G3" s="74"/>
      <c r="H3" s="74"/>
      <c r="I3" t="s" s="116">
        <v>60</v>
      </c>
      <c r="J3" s="126"/>
      <c r="K3" s="126"/>
      <c r="L3" s="118"/>
      <c r="M3" s="127">
        <f>G17+G18</f>
      </c>
      <c r="N3" s="127"/>
      <c r="O3" s="128">
        <f>IF(G16=19,132,IF(G16=31,74,IF(G16=33,300,84)))</f>
        <v>84</v>
      </c>
      <c r="P3" s="118"/>
      <c r="Q3" s="118"/>
      <c r="R3" s="121"/>
      <c r="S3" s="118"/>
      <c r="T3" s="122"/>
      <c r="U3" s="123"/>
      <c r="V3" s="123"/>
      <c r="W3" s="123"/>
      <c r="X3" s="123"/>
      <c r="Y3" s="123"/>
      <c r="Z3" s="123"/>
      <c r="AA3" s="123"/>
      <c r="AB3" s="123"/>
      <c r="AC3" s="124"/>
    </row>
    <row r="4" ht="16.5" customHeight="1">
      <c r="A4" s="129"/>
      <c r="B4" s="130"/>
      <c r="C4" s="130"/>
      <c r="D4" s="131"/>
      <c r="E4" s="130"/>
      <c r="F4" s="130"/>
      <c r="G4" s="130"/>
      <c r="H4" s="130"/>
      <c r="I4" t="s" s="116">
        <v>61</v>
      </c>
      <c r="J4" s="126"/>
      <c r="K4" s="126"/>
      <c r="L4" s="118"/>
      <c r="M4" s="127">
        <f>IF(G15=2,G17+P4/24,IF(G15=3,M3-P4/24,""))</f>
      </c>
      <c r="N4" s="120"/>
      <c r="O4" s="120"/>
      <c r="P4" s="132">
        <f>IF(OR(G16=9,G16=16,G16=20,G16=21,G16=24,G16=25),78,IF(OR(G16=18,G16=38),60,IF(OR(G16=10,G16=11),48,IF(G16=13,24,IF(OR(G16=17,G16=19,G16=27,G16=28,G16=29,G16=31),72,IF(G16=23,54,IF(OR(G16=32,G16=36,G16=37),66,IF(G16=33,282,L15))))))))</f>
        <v>72</v>
      </c>
      <c r="Q4" s="133">
        <f>IF(G16=19,120,IF(G16=31,70,IF(G16=33,288,72)))</f>
        <v>72</v>
      </c>
      <c r="R4" s="121"/>
      <c r="S4" s="118"/>
      <c r="T4" s="122"/>
      <c r="U4" s="123"/>
      <c r="V4" s="123"/>
      <c r="W4" s="123"/>
      <c r="X4" s="123"/>
      <c r="Y4" s="123"/>
      <c r="Z4" s="123"/>
      <c r="AA4" s="123"/>
      <c r="AB4" s="123"/>
      <c r="AC4" s="124"/>
    </row>
    <row r="5" ht="16.5" customHeight="1">
      <c r="A5" s="129"/>
      <c r="B5" s="130"/>
      <c r="C5" s="130"/>
      <c r="D5" s="134"/>
      <c r="E5" s="130"/>
      <c r="F5" s="130"/>
      <c r="G5" s="130"/>
      <c r="H5" s="130"/>
      <c r="I5" t="s" s="116">
        <v>62</v>
      </c>
      <c r="J5" s="126"/>
      <c r="K5" s="126"/>
      <c r="L5" s="118"/>
      <c r="M5" s="127">
        <f>G17+G18</f>
      </c>
      <c r="N5" s="135"/>
      <c r="O5" s="120"/>
      <c r="P5" s="118"/>
      <c r="Q5" s="121"/>
      <c r="R5" s="121"/>
      <c r="S5" s="118"/>
      <c r="T5" s="122"/>
      <c r="U5" s="123"/>
      <c r="V5" s="123"/>
      <c r="W5" s="123"/>
      <c r="X5" s="123"/>
      <c r="Y5" s="123"/>
      <c r="Z5" s="123"/>
      <c r="AA5" s="123"/>
      <c r="AB5" s="136">
        <v>0</v>
      </c>
      <c r="AC5" t="s" s="137">
        <v>63</v>
      </c>
    </row>
    <row r="6" ht="30.75" customHeight="1">
      <c r="A6" s="129"/>
      <c r="B6" s="138"/>
      <c r="C6" s="130"/>
      <c r="D6" s="134"/>
      <c r="E6" s="130"/>
      <c r="F6" s="130"/>
      <c r="G6" t="s" s="139">
        <v>64</v>
      </c>
      <c r="H6" s="130"/>
      <c r="I6" t="s" s="116">
        <v>65</v>
      </c>
      <c r="J6" s="140"/>
      <c r="K6" s="140"/>
      <c r="L6" s="118"/>
      <c r="M6" s="127"/>
      <c r="N6" t="s" s="141">
        <f>IF(G16=1,1,IF(G16=2,2,IF(G16=34,34,IF(G16=15,15,IF(G16=14,14,"none")))))</f>
        <v>66</v>
      </c>
      <c r="O6" s="120"/>
      <c r="P6" s="118"/>
      <c r="Q6" s="121"/>
      <c r="R6" s="121"/>
      <c r="S6" s="118"/>
      <c r="T6" s="122"/>
      <c r="U6" s="123"/>
      <c r="V6" s="123"/>
      <c r="W6" s="123"/>
      <c r="X6" s="123"/>
      <c r="Y6" s="123"/>
      <c r="Z6" s="123"/>
      <c r="AA6" s="123"/>
      <c r="AB6" s="136">
        <v>1</v>
      </c>
      <c r="AC6" t="s" s="137">
        <v>67</v>
      </c>
    </row>
    <row r="7" ht="16.5" customHeight="1">
      <c r="A7" s="129"/>
      <c r="B7" s="130"/>
      <c r="C7" s="130"/>
      <c r="D7" s="134"/>
      <c r="E7" t="s" s="142">
        <f>'Program'!M15</f>
        <v>68</v>
      </c>
      <c r="F7" s="130"/>
      <c r="G7" s="74"/>
      <c r="H7" s="130"/>
      <c r="I7" t="s" s="116">
        <v>69</v>
      </c>
      <c r="J7" s="140"/>
      <c r="K7" s="140"/>
      <c r="L7" s="118"/>
      <c r="M7" s="127"/>
      <c r="N7" t="s" s="141">
        <f>IF(G16=16,16,IF(G16=33,33,IF(G16=25,25,"none")))</f>
        <v>66</v>
      </c>
      <c r="O7" s="120"/>
      <c r="P7" s="118"/>
      <c r="Q7" s="118"/>
      <c r="R7" s="121"/>
      <c r="S7" s="118"/>
      <c r="T7" s="122"/>
      <c r="U7" s="123"/>
      <c r="V7" s="123"/>
      <c r="W7" s="123"/>
      <c r="X7" s="123"/>
      <c r="Y7" s="123"/>
      <c r="Z7" s="123"/>
      <c r="AA7" s="123"/>
      <c r="AB7" s="136">
        <v>2</v>
      </c>
      <c r="AC7" t="s" s="137">
        <v>70</v>
      </c>
    </row>
    <row r="8" ht="16.5" customHeight="1">
      <c r="A8" s="143"/>
      <c r="B8" s="144"/>
      <c r="C8" s="144"/>
      <c r="D8" s="145"/>
      <c r="E8" s="144"/>
      <c r="F8" s="144"/>
      <c r="G8" s="144"/>
      <c r="H8" s="144"/>
      <c r="I8" t="s" s="146">
        <v>62</v>
      </c>
      <c r="J8" s="140"/>
      <c r="K8" s="140"/>
      <c r="L8" s="118"/>
      <c r="M8" s="127"/>
      <c r="N8" s="128">
        <f>IF(G16=22,23,IF(G16=37,37,IF(G16=23,22,IF(G16=35,36,IF(G16=36,35,IF(G16=29,38,IF(G16=38,29,"none")))))))</f>
        <v>38</v>
      </c>
      <c r="O8" s="120"/>
      <c r="P8" s="147"/>
      <c r="Q8" s="147"/>
      <c r="R8" s="121"/>
      <c r="S8" s="118"/>
      <c r="T8" s="122"/>
      <c r="U8" s="123"/>
      <c r="V8" s="123"/>
      <c r="W8" s="123"/>
      <c r="X8" s="123"/>
      <c r="Y8" s="123"/>
      <c r="Z8" s="123"/>
      <c r="AA8" s="123"/>
      <c r="AB8" s="136">
        <v>3</v>
      </c>
      <c r="AC8" t="s" s="137">
        <v>71</v>
      </c>
    </row>
    <row r="9" ht="21" customHeight="1">
      <c r="A9" s="148"/>
      <c r="B9" t="s" s="149">
        <v>72</v>
      </c>
      <c r="C9" s="150"/>
      <c r="D9" s="151"/>
      <c r="E9" s="152"/>
      <c r="F9" s="152"/>
      <c r="G9" s="152"/>
      <c r="H9" s="152"/>
      <c r="I9" s="152"/>
      <c r="J9" s="152"/>
      <c r="K9" t="s" s="153">
        <v>73</v>
      </c>
      <c r="L9" s="154"/>
      <c r="M9" s="127"/>
      <c r="N9" t="s" s="141">
        <f>IF(OR(G16=22,G16=29),"Equivalent Heifer System",IF(OR(G16=23,G16=27,G16=32,G16=38),"Equivalent Cow System","Equivalent System"))</f>
        <v>74</v>
      </c>
      <c r="O9" s="120"/>
      <c r="P9" s="147"/>
      <c r="Q9" s="155"/>
      <c r="R9" s="121"/>
      <c r="S9" s="118"/>
      <c r="T9" s="122"/>
      <c r="U9" s="123"/>
      <c r="V9" s="123"/>
      <c r="W9" s="123"/>
      <c r="X9" s="123"/>
      <c r="Y9" s="123"/>
      <c r="Z9" s="123"/>
      <c r="AA9" s="123"/>
      <c r="AB9" s="136">
        <v>4</v>
      </c>
      <c r="AC9" t="s" s="137">
        <v>75</v>
      </c>
    </row>
    <row r="10" ht="8" customHeight="1">
      <c r="A10" s="156"/>
      <c r="B10" s="157"/>
      <c r="C10" s="158"/>
      <c r="D10" s="159"/>
      <c r="E10" s="160"/>
      <c r="F10" s="160"/>
      <c r="G10" s="160"/>
      <c r="H10" s="161"/>
      <c r="I10" s="161"/>
      <c r="J10" s="161"/>
      <c r="K10" s="162"/>
      <c r="L10" s="118"/>
      <c r="M10" s="127"/>
      <c r="N10" s="120"/>
      <c r="O10" s="120"/>
      <c r="P10" s="147"/>
      <c r="Q10" s="147"/>
      <c r="R10" s="121"/>
      <c r="S10" s="118"/>
      <c r="T10" s="122"/>
      <c r="U10" s="123"/>
      <c r="V10" s="123"/>
      <c r="W10" s="123"/>
      <c r="X10" s="123"/>
      <c r="Y10" s="123"/>
      <c r="Z10" s="123"/>
      <c r="AA10" s="123"/>
      <c r="AB10" s="136">
        <v>5</v>
      </c>
      <c r="AC10" t="s" s="137">
        <v>76</v>
      </c>
    </row>
    <row r="11" ht="8" customHeight="1">
      <c r="A11" s="163"/>
      <c r="B11" s="164"/>
      <c r="C11" s="165"/>
      <c r="D11" s="166"/>
      <c r="E11" s="167"/>
      <c r="F11" s="167"/>
      <c r="G11" s="167"/>
      <c r="H11" s="168"/>
      <c r="I11" s="168"/>
      <c r="J11" s="168"/>
      <c r="K11" s="169"/>
      <c r="L11" s="170"/>
      <c r="M11" s="171"/>
      <c r="N11" s="172"/>
      <c r="O11" s="120"/>
      <c r="P11" s="147"/>
      <c r="Q11" s="147"/>
      <c r="R11" s="121"/>
      <c r="S11" s="118"/>
      <c r="T11" s="122"/>
      <c r="U11" s="123"/>
      <c r="V11" s="123"/>
      <c r="W11" s="123"/>
      <c r="X11" s="123"/>
      <c r="Y11" s="123"/>
      <c r="Z11" s="123"/>
      <c r="AA11" s="123"/>
      <c r="AB11" s="136">
        <v>6</v>
      </c>
      <c r="AC11" t="s" s="137">
        <v>77</v>
      </c>
    </row>
    <row r="12" ht="16.5" customHeight="1">
      <c r="A12" s="173"/>
      <c r="B12" s="174"/>
      <c r="C12" s="175"/>
      <c r="D12" s="176"/>
      <c r="E12" s="177"/>
      <c r="F12" s="178"/>
      <c r="G12" s="179"/>
      <c r="H12" s="179">
        <f>ROUNDUP(G17-M4,0)</f>
      </c>
      <c r="I12" s="179"/>
      <c r="J12" s="179"/>
      <c r="K12" s="180">
        <f>G18</f>
        <v>0.4166666666666666</v>
      </c>
      <c r="L12" s="181"/>
      <c r="M12" t="s" s="182">
        <v>78</v>
      </c>
      <c r="N12" s="183"/>
      <c r="O12" s="184">
        <f>VLOOKUP(G16,'System Inputs'!A2:T39,20)</f>
        <v>4</v>
      </c>
      <c r="P12" s="132">
        <f>IF(G16=13,0,IF(G16=38,4,IF(OR(G16=35,G16=22),3,IF(OR(G16=10,G16=11,G16=17,G16=18,G16=23,G16=27,G16=28,G16=29,G16=32,G16=36,G16=37),2,0))))</f>
        <v>2</v>
      </c>
      <c r="Q12" s="132">
        <f>IF(G15=2,M3+Q4/24)</f>
        <v>0</v>
      </c>
      <c r="R12" s="185"/>
      <c r="S12" s="118"/>
      <c r="T12" s="122"/>
      <c r="U12" t="s" s="186">
        <v>79</v>
      </c>
      <c r="V12" s="123"/>
      <c r="W12" s="123"/>
      <c r="X12" s="123"/>
      <c r="Y12" s="123"/>
      <c r="Z12" s="123"/>
      <c r="AA12" s="123"/>
      <c r="AB12" s="136">
        <v>7</v>
      </c>
      <c r="AC12" t="s" s="137">
        <v>80</v>
      </c>
    </row>
    <row r="13" ht="16.5" customHeight="1">
      <c r="A13" s="187"/>
      <c r="B13" t="s" s="188">
        <f>IF(VLOOKUP(G16,T15:U52,2)=G15,"",U12)</f>
      </c>
      <c r="C13" s="189"/>
      <c r="D13" s="190"/>
      <c r="E13" s="191"/>
      <c r="F13" s="192"/>
      <c r="G13" s="193"/>
      <c r="H13" s="194"/>
      <c r="I13" s="195"/>
      <c r="J13" s="195"/>
      <c r="K13" s="195"/>
      <c r="L13" s="181"/>
      <c r="M13" t="s" s="196">
        <v>81</v>
      </c>
      <c r="N13" s="197"/>
      <c r="O13" s="198">
        <f>L18</f>
        <v>2.666666666666667</v>
      </c>
      <c r="P13" s="199">
        <f>O12-O13</f>
        <v>1.333333333333333</v>
      </c>
      <c r="Q13" s="200">
        <f>IF(OR(G16=7,G16=19),2,IF(G16=1,4,IF(OR(G16=34,G16=33),9,0)))</f>
        <v>0</v>
      </c>
      <c r="R13" s="185"/>
      <c r="S13" s="118"/>
      <c r="T13" s="122"/>
      <c r="U13" s="122"/>
      <c r="V13" s="123"/>
      <c r="W13" s="123"/>
      <c r="X13" s="123"/>
      <c r="Y13" s="123"/>
      <c r="Z13" s="123"/>
      <c r="AA13" s="123"/>
      <c r="AB13" s="123"/>
      <c r="AC13" s="124"/>
    </row>
    <row r="14" ht="18.75" customHeight="1">
      <c r="A14" s="187"/>
      <c r="B14" t="s" s="201">
        <v>82</v>
      </c>
      <c r="C14" t="s" s="202">
        <v>83</v>
      </c>
      <c r="D14" s="203"/>
      <c r="E14" s="189"/>
      <c r="F14" s="204"/>
      <c r="G14" s="205">
        <v>1</v>
      </c>
      <c r="H14" s="206"/>
      <c r="I14" t="s" s="207">
        <v>84</v>
      </c>
      <c r="J14" s="208"/>
      <c r="K14" s="209"/>
      <c r="L14" s="154"/>
      <c r="M14" t="s" s="210">
        <f>M33</f>
        <v>85</v>
      </c>
      <c r="N14" s="211"/>
      <c r="O14" s="212">
        <f>IF(K25="none",N14,K25)</f>
        <v>38</v>
      </c>
      <c r="P14" s="199">
        <f>O12-P13</f>
        <v>2.666666666666667</v>
      </c>
      <c r="Q14" s="121"/>
      <c r="R14" s="185"/>
      <c r="S14" s="118"/>
      <c r="T14" t="s" s="186">
        <v>86</v>
      </c>
      <c r="U14" s="122"/>
      <c r="V14" s="123"/>
      <c r="W14" s="123"/>
      <c r="X14" s="123"/>
      <c r="Y14" s="123"/>
      <c r="Z14" s="123"/>
      <c r="AA14" s="123"/>
      <c r="AB14" s="123"/>
      <c r="AC14" s="124"/>
    </row>
    <row r="15" ht="18.75" customHeight="1">
      <c r="A15" s="187"/>
      <c r="B15" t="s" s="201">
        <v>87</v>
      </c>
      <c r="C15" t="s" s="202">
        <v>88</v>
      </c>
      <c r="D15" s="213"/>
      <c r="E15" s="189"/>
      <c r="F15" s="204"/>
      <c r="G15" s="205">
        <v>3</v>
      </c>
      <c r="H15" s="214"/>
      <c r="I15" t="s" s="215">
        <v>89</v>
      </c>
      <c r="J15" s="216"/>
      <c r="K15" s="217">
        <f>'Calendar'!D8</f>
        <v>43732</v>
      </c>
      <c r="L15" s="218">
        <f>IF(G16=35,69,IF(G16=22,63,0))</f>
        <v>0</v>
      </c>
      <c r="M15" s="219">
        <f>IF(N15="",G17+G18-P12/24,IF(G15=2,Q12,G17+G18-(P12)/24))</f>
      </c>
      <c r="N15" t="s" s="220">
        <f>IF(G15=1,"",IF(G15=2,"x",IF(O13&gt;3,"","x")))</f>
        <v>90</v>
      </c>
      <c r="O15" s="221"/>
      <c r="P15" s="170"/>
      <c r="Q15" s="121"/>
      <c r="R15" s="185"/>
      <c r="S15" s="118"/>
      <c r="T15" s="222">
        <v>1</v>
      </c>
      <c r="U15" s="222">
        <v>1</v>
      </c>
      <c r="V15" t="s" s="223">
        <v>91</v>
      </c>
      <c r="W15" s="123"/>
      <c r="X15" s="123"/>
      <c r="Y15" s="123"/>
      <c r="Z15" s="123"/>
      <c r="AA15" s="123"/>
      <c r="AB15" s="123"/>
      <c r="AC15" s="124"/>
    </row>
    <row r="16" ht="18.75" customHeight="1">
      <c r="A16" s="187"/>
      <c r="B16" t="s" s="201">
        <v>92</v>
      </c>
      <c r="C16" s="189"/>
      <c r="D16" s="213"/>
      <c r="E16" s="189"/>
      <c r="F16" s="204"/>
      <c r="G16" s="205">
        <v>29</v>
      </c>
      <c r="H16" s="214"/>
      <c r="I16" t="s" s="224">
        <f>IF(OR(G16=22,G16=23,G16=29,G16=35,G16=36,G16=37,G16=38,G16=16,G16=25,G16=33,G16=15,G16=14),"CIDR removal:",IF(OR(G16&lt;13,G16=17,G16=27,G16=32,G16=19,G16=18,G16=20,G16=21,G16=26,G16=30,G16=34,G16=31,G16=28),"PG Injection:",IF(G16=13,"GnRH injection ","")))</f>
        <v>93</v>
      </c>
      <c r="J16" s="225">
        <f>IF(G15=3,(G17+G18)-P4/24,IF(G15&lt;3,(G17+G18)+Q13,""))</f>
      </c>
      <c r="K16" s="226"/>
      <c r="L16" s="227"/>
      <c r="M16" s="228">
        <f>IF(N16="",M15,M15+TIME(1,0,0))</f>
      </c>
      <c r="N16" t="s" s="220">
        <f>IF(G15=1,"",IF(P13&gt;=1,"x",""))</f>
        <v>90</v>
      </c>
      <c r="O16" s="229"/>
      <c r="P16" s="170"/>
      <c r="Q16" s="121"/>
      <c r="R16" s="185"/>
      <c r="S16" s="118"/>
      <c r="T16" s="222">
        <v>2</v>
      </c>
      <c r="U16" s="222">
        <v>1</v>
      </c>
      <c r="V16" t="s" s="223">
        <v>94</v>
      </c>
      <c r="W16" s="123"/>
      <c r="X16" s="123"/>
      <c r="Y16" s="123"/>
      <c r="Z16" s="123"/>
      <c r="AA16" s="123"/>
      <c r="AB16" s="123"/>
      <c r="AC16" s="124"/>
    </row>
    <row r="17" ht="18.75" customHeight="1">
      <c r="A17" s="187"/>
      <c r="B17" t="s" s="201">
        <v>95</v>
      </c>
      <c r="C17" s="189"/>
      <c r="D17" t="s" s="230">
        <v>96</v>
      </c>
      <c r="E17" s="189"/>
      <c r="F17" s="204"/>
      <c r="G17" s="231">
        <v>43451</v>
      </c>
      <c r="H17" s="214"/>
      <c r="I17" t="s" s="232">
        <v>97</v>
      </c>
      <c r="J17" s="233"/>
      <c r="K17" s="234">
        <f>VLOOKUP(G16,'System Inputs'!A1:K39,11)</f>
        <v>4</v>
      </c>
      <c r="L17" s="227"/>
      <c r="M17" s="228">
        <f>IF(N17="",M16,M16+TIME(1,0,0))</f>
      </c>
      <c r="N17" t="s" s="220">
        <f>IF(G15=1,"",IF(P13&gt;=P12,"x",""))</f>
      </c>
      <c r="O17" s="229">
        <f>MIN(M15:M17)</f>
      </c>
      <c r="P17" s="170"/>
      <c r="Q17" s="121"/>
      <c r="R17" s="185"/>
      <c r="S17" t="s" s="235">
        <v>98</v>
      </c>
      <c r="T17" s="222">
        <v>3</v>
      </c>
      <c r="U17" s="222">
        <v>1</v>
      </c>
      <c r="V17" t="s" s="223">
        <v>99</v>
      </c>
      <c r="W17" s="123"/>
      <c r="X17" s="123"/>
      <c r="Y17" s="123"/>
      <c r="Z17" s="123"/>
      <c r="AA17" s="123"/>
      <c r="AB17" s="123"/>
      <c r="AC17" s="124"/>
    </row>
    <row r="18" ht="18.75" customHeight="1">
      <c r="A18" s="236"/>
      <c r="B18" t="s" s="201">
        <f>IF(G15=3,"Time of day you want to breed (midpoint Fixed TimeAI): ","Time of day you want to breed:")</f>
        <v>100</v>
      </c>
      <c r="C18" s="189"/>
      <c r="D18" s="213"/>
      <c r="E18" s="189"/>
      <c r="F18" s="204"/>
      <c r="G18" s="237">
        <v>0.4166666666666666</v>
      </c>
      <c r="H18" s="238">
        <f>G18</f>
        <v>0.4166666666666666</v>
      </c>
      <c r="I18" t="s" s="239">
        <v>101</v>
      </c>
      <c r="J18" s="240"/>
      <c r="K18" s="241">
        <v>30</v>
      </c>
      <c r="L18" s="218">
        <f>K19/K18</f>
        <v>2.666666666666667</v>
      </c>
      <c r="M18" t="s" s="242">
        <f>IF(N18="","",M17+TIME(1,0,0))</f>
      </c>
      <c r="N18" t="s" s="220">
        <f>IF(G15=1,"",IF(P13&gt;=3,"x",""))</f>
      </c>
      <c r="O18" s="243"/>
      <c r="P18" s="170"/>
      <c r="Q18" s="121"/>
      <c r="R18" s="185"/>
      <c r="S18" s="118"/>
      <c r="T18" s="222">
        <v>4</v>
      </c>
      <c r="U18" s="222">
        <v>1</v>
      </c>
      <c r="V18" t="s" s="223">
        <v>102</v>
      </c>
      <c r="W18" s="123"/>
      <c r="X18" s="123"/>
      <c r="Y18" s="123"/>
      <c r="Z18" s="123"/>
      <c r="AA18" s="123"/>
      <c r="AB18" s="123"/>
      <c r="AC18" s="124"/>
    </row>
    <row r="19" ht="18.75" customHeight="1">
      <c r="A19" s="244"/>
      <c r="B19" t="s" s="201">
        <v>103</v>
      </c>
      <c r="C19" t="s" s="202">
        <v>104</v>
      </c>
      <c r="D19" s="245"/>
      <c r="E19" s="189"/>
      <c r="F19" s="204"/>
      <c r="G19" s="205">
        <v>1</v>
      </c>
      <c r="H19" s="246"/>
      <c r="I19" t="s" s="247">
        <v>105</v>
      </c>
      <c r="J19" s="248"/>
      <c r="K19" s="249">
        <v>80</v>
      </c>
      <c r="L19" t="s" s="250">
        <f>IF(G19=1,"2cc Cystorelin",IF(G19=2,"2cc Factrel",IF(G19=3,"2cc Fertagyl",IF(G19=4,"2cc OvaCyst",IF(G19=5,"1cc GONAbreed","GnRH")))))</f>
        <v>106</v>
      </c>
      <c r="M19" t="s" s="242">
        <f>IF(N19="","",M18+TIME(1,0,0))</f>
      </c>
      <c r="N19" t="s" s="220">
        <f>IF(G15=1,"",IF(P13&gt;=4,"x",""))</f>
      </c>
      <c r="O19" s="229"/>
      <c r="P19" s="170"/>
      <c r="Q19" s="121"/>
      <c r="R19" s="123"/>
      <c r="S19" s="123"/>
      <c r="T19" s="222">
        <v>5</v>
      </c>
      <c r="U19" s="222">
        <v>1</v>
      </c>
      <c r="V19" t="s" s="223">
        <v>107</v>
      </c>
      <c r="W19" s="123"/>
      <c r="X19" s="123"/>
      <c r="Y19" s="123"/>
      <c r="Z19" s="123"/>
      <c r="AA19" s="123"/>
      <c r="AB19" s="123"/>
      <c r="AC19" s="124"/>
    </row>
    <row r="20" ht="36" customHeight="1">
      <c r="A20" s="187"/>
      <c r="B20" t="s" s="251">
        <v>108</v>
      </c>
      <c r="C20" t="s" s="252">
        <v>109</v>
      </c>
      <c r="D20" s="253"/>
      <c r="E20" s="253"/>
      <c r="F20" s="254"/>
      <c r="G20" s="255">
        <v>1</v>
      </c>
      <c r="H20" s="256"/>
      <c r="I20" t="s" s="257">
        <f>IF(L18&gt;3,"Reduce Breeding Group Size","")</f>
      </c>
      <c r="J20" s="258"/>
      <c r="K20" s="258"/>
      <c r="L20" t="s" s="259">
        <f>VLOOKUP(G20,AB5:AC12,2)</f>
        <v>67</v>
      </c>
      <c r="M20" t="s" s="242">
        <f>IF(N20="","",M19+TIME(1,0,0))</f>
      </c>
      <c r="N20" t="s" s="220">
        <f>IF(G15=1,"",IF(P13&gt;=5,"x",""))</f>
      </c>
      <c r="O20" s="229"/>
      <c r="P20" s="170"/>
      <c r="Q20" s="121"/>
      <c r="R20" s="123"/>
      <c r="S20" s="123"/>
      <c r="T20" s="222">
        <v>6</v>
      </c>
      <c r="U20" s="222">
        <v>1</v>
      </c>
      <c r="V20" t="s" s="223">
        <v>110</v>
      </c>
      <c r="W20" s="123"/>
      <c r="X20" s="123"/>
      <c r="Y20" s="123"/>
      <c r="Z20" s="123"/>
      <c r="AA20" s="123"/>
      <c r="AB20" s="123"/>
      <c r="AC20" s="124"/>
    </row>
    <row r="21" ht="18.75" customHeight="1">
      <c r="A21" s="260"/>
      <c r="B21" t="s" s="201">
        <v>111</v>
      </c>
      <c r="C21" s="189"/>
      <c r="D21" s="213"/>
      <c r="E21" s="189"/>
      <c r="F21" s="204"/>
      <c r="G21" s="261"/>
      <c r="H21" s="262"/>
      <c r="I21" t="s" s="207">
        <v>112</v>
      </c>
      <c r="J21" s="208"/>
      <c r="K21" s="209"/>
      <c r="L21" s="227"/>
      <c r="M21" t="s" s="242">
        <f>IF(N21="","",M20+TIME(1,0,0))</f>
      </c>
      <c r="N21" t="s" s="220">
        <f>IF(G15=1,"",IF(P13&gt;=6,"x",""))</f>
      </c>
      <c r="O21" s="229"/>
      <c r="P21" s="170"/>
      <c r="Q21" s="121"/>
      <c r="R21" s="123"/>
      <c r="S21" t="s" s="263">
        <v>98</v>
      </c>
      <c r="T21" s="222">
        <v>7</v>
      </c>
      <c r="U21" s="222">
        <v>1</v>
      </c>
      <c r="V21" t="s" s="223">
        <v>113</v>
      </c>
      <c r="W21" s="123"/>
      <c r="X21" s="123"/>
      <c r="Y21" s="123"/>
      <c r="Z21" s="123"/>
      <c r="AA21" s="123"/>
      <c r="AB21" s="123"/>
      <c r="AC21" s="124"/>
    </row>
    <row r="22" ht="18.75" customHeight="1">
      <c r="A22" s="264"/>
      <c r="B22" t="s" s="265">
        <v>114</v>
      </c>
      <c r="C22" s="266"/>
      <c r="D22" s="267"/>
      <c r="E22" s="266"/>
      <c r="F22" s="189"/>
      <c r="G22" s="268"/>
      <c r="H22" s="269"/>
      <c r="I22" t="s" s="239">
        <v>115</v>
      </c>
      <c r="J22" s="240"/>
      <c r="K22" s="270"/>
      <c r="L22" s="227"/>
      <c r="M22" t="s" s="242">
        <f>IF(N22="","",M21+TIME(1,0,0))</f>
      </c>
      <c r="N22" t="s" s="220">
        <f>IF(G15=1,"",IF(P13&gt;=7,"x",""))</f>
      </c>
      <c r="O22" s="229"/>
      <c r="P22" s="170"/>
      <c r="Q22" s="121"/>
      <c r="R22" s="123"/>
      <c r="S22" s="123"/>
      <c r="T22" s="222">
        <v>8</v>
      </c>
      <c r="U22" s="222">
        <v>1</v>
      </c>
      <c r="V22" t="s" s="223">
        <v>116</v>
      </c>
      <c r="W22" s="123"/>
      <c r="X22" s="123"/>
      <c r="Y22" s="123"/>
      <c r="Z22" s="123"/>
      <c r="AA22" s="123"/>
      <c r="AB22" s="123"/>
      <c r="AC22" s="124"/>
    </row>
    <row r="23" ht="18.75" customHeight="1">
      <c r="A23" s="271"/>
      <c r="B23" s="272"/>
      <c r="C23" s="273"/>
      <c r="D23" s="273"/>
      <c r="E23" s="274"/>
      <c r="F23" s="275"/>
      <c r="G23" s="276"/>
      <c r="H23" s="277"/>
      <c r="I23" t="s" s="224">
        <v>117</v>
      </c>
      <c r="J23" s="278"/>
      <c r="K23" s="270"/>
      <c r="L23" s="227"/>
      <c r="M23" t="s" s="242">
        <f>IF(N23="","",M22+TIME(1,0,0))</f>
      </c>
      <c r="N23" t="s" s="220">
        <f>IF(G15=1,"",IF(P13&gt;=8,"x",""))</f>
      </c>
      <c r="O23" s="229"/>
      <c r="P23" s="170"/>
      <c r="Q23" s="121"/>
      <c r="R23" s="123"/>
      <c r="S23" s="123"/>
      <c r="T23" s="222">
        <v>9</v>
      </c>
      <c r="U23" s="222">
        <v>2</v>
      </c>
      <c r="V23" t="s" s="223">
        <v>118</v>
      </c>
      <c r="W23" s="123"/>
      <c r="X23" s="123"/>
      <c r="Y23" s="123"/>
      <c r="Z23" s="123"/>
      <c r="AA23" s="123"/>
      <c r="AB23" s="123"/>
      <c r="AC23" s="124"/>
    </row>
    <row r="24" ht="18.75" customHeight="1">
      <c r="A24" s="264"/>
      <c r="B24" s="175"/>
      <c r="C24" s="175"/>
      <c r="D24" s="279"/>
      <c r="E24" s="175"/>
      <c r="F24" t="s" s="280">
        <v>96</v>
      </c>
      <c r="G24" s="245"/>
      <c r="H24" s="277"/>
      <c r="I24" t="s" s="281">
        <v>119</v>
      </c>
      <c r="J24" s="282"/>
      <c r="K24" s="283"/>
      <c r="L24" s="227"/>
      <c r="M24" t="s" s="242">
        <f>IF(N24="","",M23+TIME(1,0,0))</f>
      </c>
      <c r="N24" t="s" s="220">
        <f>IF(G15=1,"",IF(P13&gt;=9,"x",""))</f>
      </c>
      <c r="O24" s="229"/>
      <c r="P24" s="170"/>
      <c r="Q24" s="123"/>
      <c r="R24" s="123"/>
      <c r="S24" t="s" s="263">
        <v>98</v>
      </c>
      <c r="T24" s="222">
        <v>10</v>
      </c>
      <c r="U24" s="222">
        <v>3</v>
      </c>
      <c r="V24" t="s" s="223">
        <v>120</v>
      </c>
      <c r="W24" s="123"/>
      <c r="X24" s="123"/>
      <c r="Y24" s="123"/>
      <c r="Z24" s="123"/>
      <c r="AA24" s="123"/>
      <c r="AB24" s="123"/>
      <c r="AC24" s="124"/>
    </row>
    <row r="25" ht="18.75" customHeight="1">
      <c r="A25" s="264"/>
      <c r="B25" s="284"/>
      <c r="C25" s="285"/>
      <c r="D25" s="286"/>
      <c r="E25" s="285"/>
      <c r="F25" s="287"/>
      <c r="G25" s="284"/>
      <c r="H25" s="288"/>
      <c r="I25" t="s" s="289">
        <v>121</v>
      </c>
      <c r="J25" s="290"/>
      <c r="K25" s="291">
        <f>IF(G15=1,N6,IF(G15=2,N7,N8))</f>
        <v>38</v>
      </c>
      <c r="L25" s="292"/>
      <c r="M25" t="s" s="242">
        <f>IF(N25="","",M24+TIME(1,0,0))</f>
      </c>
      <c r="N25" t="s" s="220">
        <f>IF(G15=1,"",IF(P13&gt;=10,"x",""))</f>
      </c>
      <c r="O25" s="229"/>
      <c r="P25" s="170"/>
      <c r="Q25" s="123"/>
      <c r="R25" s="123"/>
      <c r="S25" s="123"/>
      <c r="T25" s="222">
        <v>11</v>
      </c>
      <c r="U25" s="222">
        <v>3</v>
      </c>
      <c r="V25" t="s" s="223">
        <v>122</v>
      </c>
      <c r="W25" s="123"/>
      <c r="X25" s="123"/>
      <c r="Y25" s="123"/>
      <c r="Z25" s="123"/>
      <c r="AA25" s="123"/>
      <c r="AB25" s="123"/>
      <c r="AC25" s="124"/>
    </row>
    <row r="26" ht="18.75" customHeight="1">
      <c r="A26" s="293"/>
      <c r="B26" t="s" s="294">
        <f>IF(G15=3,"Fixed-Time AI",IF(G15=2,"Heat detect &amp; Clean-up AI","Heat detect &amp; Breed"))&amp;" Cow Protocols"</f>
        <v>123</v>
      </c>
      <c r="C26" s="295"/>
      <c r="D26" s="296"/>
      <c r="E26" s="297"/>
      <c r="F26" t="s" s="298">
        <v>124</v>
      </c>
      <c r="G26" t="s" s="294">
        <f>IF(G15=3,"Fixed-Time AI",IF(G15=2,"Heat detect &amp; Clean-up AI","Heat detect &amp; Breed"))&amp;" Heifer Protocols"</f>
        <v>125</v>
      </c>
      <c r="H26" s="295"/>
      <c r="I26" s="296"/>
      <c r="J26" s="297"/>
      <c r="K26" s="299"/>
      <c r="L26" s="292"/>
      <c r="M26" t="s" s="242">
        <f>IF(N26="","",M25+TIME(1,0,0))</f>
      </c>
      <c r="N26" t="s" s="220">
        <f>IF(G15=1,"",IF(P13&gt;=11,"x",""))</f>
      </c>
      <c r="O26" s="229"/>
      <c r="P26" s="170"/>
      <c r="Q26" s="136">
        <f>IF(OR(G16=22,G16=23,G16=29,G16=38),12,IF(OR(G16=35,G16=36),3,0))</f>
        <v>12</v>
      </c>
      <c r="R26" s="123"/>
      <c r="S26" s="123"/>
      <c r="T26" s="222">
        <v>12</v>
      </c>
      <c r="U26" s="222">
        <v>1</v>
      </c>
      <c r="V26" t="s" s="223">
        <v>126</v>
      </c>
      <c r="W26" s="123"/>
      <c r="X26" s="123"/>
      <c r="Y26" s="123"/>
      <c r="Z26" s="123"/>
      <c r="AA26" s="123"/>
      <c r="AB26" s="123"/>
      <c r="AC26" s="124"/>
    </row>
    <row r="27" ht="18.75" customHeight="1">
      <c r="A27" s="293"/>
      <c r="B27" t="s" s="300">
        <f>IF(AND(G14=2,G15=1),"",IF(AND(G14=2,G15=2),"",IF(AND(G14=2,G15=3),V51,IF(G15=1,V21,IF(G15=2,V30,IF(G15=3,V36,""))))))</f>
        <v>127</v>
      </c>
      <c r="C27" s="301"/>
      <c r="D27" s="302"/>
      <c r="E27" s="303"/>
      <c r="F27" s="304"/>
      <c r="G27" t="s" s="300">
        <f>IF(G14=2,"",IF(G15=1,V15,IF(G15=2,V30,IF(G15=3,V37,""))))</f>
        <v>128</v>
      </c>
      <c r="H27" s="301"/>
      <c r="I27" s="302"/>
      <c r="J27" s="303"/>
      <c r="K27" s="299"/>
      <c r="L27" s="292"/>
      <c r="M27" t="s" s="242">
        <f>IF(N27="","",M26+TIME(1,0,0))</f>
      </c>
      <c r="N27" t="s" s="220">
        <f>IF(G15=1,"",IF(P13&gt;=12,"x",""))</f>
      </c>
      <c r="O27" s="229"/>
      <c r="P27" s="170"/>
      <c r="Q27" s="118"/>
      <c r="R27" s="118"/>
      <c r="S27" t="s" s="235">
        <v>98</v>
      </c>
      <c r="T27" s="222">
        <v>13</v>
      </c>
      <c r="U27" s="222">
        <v>3</v>
      </c>
      <c r="V27" t="s" s="223">
        <v>129</v>
      </c>
      <c r="W27" s="123"/>
      <c r="X27" s="123"/>
      <c r="Y27" s="123"/>
      <c r="Z27" s="123"/>
      <c r="AA27" s="123"/>
      <c r="AB27" s="123"/>
      <c r="AC27" s="124"/>
    </row>
    <row r="28" ht="18.75" customHeight="1">
      <c r="A28" s="293"/>
      <c r="B28" t="s" s="305">
        <f>IF(G14=2,"",IF(G15=1,V28,IF(G15=2,V33,IF(G15=3,V43,""))))</f>
        <v>130</v>
      </c>
      <c r="C28" s="306"/>
      <c r="D28" s="307"/>
      <c r="E28" s="308"/>
      <c r="F28" s="304"/>
      <c r="G28" t="s" s="305">
        <f>IF(G14=2,"",IF(G15=1,V20,IF(G15=2,V40,IF(G15=3,V41,""))))</f>
        <v>131</v>
      </c>
      <c r="H28" s="306"/>
      <c r="I28" s="307"/>
      <c r="J28" s="308"/>
      <c r="K28" s="299"/>
      <c r="L28" s="292"/>
      <c r="M28" t="s" s="242">
        <f>IF(N28="","",M27+TIME(1,0,0))</f>
      </c>
      <c r="N28" t="s" s="220">
        <f>IF(G15=1,"",IF(P13&gt;=13,"x",""))</f>
      </c>
      <c r="O28" s="229"/>
      <c r="P28" s="170"/>
      <c r="Q28" s="118">
        <f>Q29-TIME(1,0,0)</f>
      </c>
      <c r="R28" t="s" s="309">
        <f>IF(N$17="c","h","c")</f>
        <v>132</v>
      </c>
      <c r="S28" s="118"/>
      <c r="T28" s="222">
        <v>14</v>
      </c>
      <c r="U28" s="222">
        <v>1</v>
      </c>
      <c r="V28" t="s" s="223">
        <v>133</v>
      </c>
      <c r="W28" s="123"/>
      <c r="X28" s="123"/>
      <c r="Y28" s="123"/>
      <c r="Z28" s="123"/>
      <c r="AA28" s="123"/>
      <c r="AB28" s="123"/>
      <c r="AC28" s="124"/>
    </row>
    <row r="29" ht="18.75" customHeight="1">
      <c r="A29" s="293"/>
      <c r="B29" t="s" s="305">
        <f>IF(G14=2,"",IF(G15=1,V48,IF(G15=2,V47,"")))</f>
      </c>
      <c r="C29" s="306"/>
      <c r="D29" s="307"/>
      <c r="E29" s="308"/>
      <c r="F29" s="304"/>
      <c r="G29" t="s" s="305">
        <f>IF(G14=2,"",IF(G15=1,V29,IF(G15=3,V46,V45)))</f>
        <v>134</v>
      </c>
      <c r="H29" s="306"/>
      <c r="I29" s="307"/>
      <c r="J29" s="308"/>
      <c r="K29" s="299"/>
      <c r="L29" s="292"/>
      <c r="M29" t="s" s="242">
        <f>IF(N29="","",M28+TIME(1,0,0))</f>
      </c>
      <c r="N29" t="s" s="220">
        <f>IF(G15=1,"",IF(P13&gt;=14,"x",""))</f>
      </c>
      <c r="O29" s="229"/>
      <c r="P29" s="170"/>
      <c r="Q29" s="118">
        <f>Q30-TIME(1,0,0)</f>
      </c>
      <c r="R29" s="121"/>
      <c r="S29" s="118"/>
      <c r="T29" s="222">
        <v>15</v>
      </c>
      <c r="U29" s="222">
        <v>1</v>
      </c>
      <c r="V29" t="s" s="223">
        <v>135</v>
      </c>
      <c r="W29" s="123"/>
      <c r="X29" s="123"/>
      <c r="Y29" s="123"/>
      <c r="Z29" s="123"/>
      <c r="AA29" s="123"/>
      <c r="AB29" s="123"/>
      <c r="AC29" s="124"/>
    </row>
    <row r="30" ht="18.75" customHeight="1">
      <c r="A30" s="293"/>
      <c r="B30" s="310"/>
      <c r="C30" s="311"/>
      <c r="D30" s="312"/>
      <c r="E30" s="313"/>
      <c r="F30" s="304"/>
      <c r="G30" t="s" s="314">
        <f>IF(AND(G14=1,G15=3),V52,IF(AND(G14=1,G15=2),V47,IF(AND(G14=1,G15=1),V48,"")))</f>
        <v>136</v>
      </c>
      <c r="H30" s="311"/>
      <c r="I30" s="312"/>
      <c r="J30" s="313"/>
      <c r="K30" s="299"/>
      <c r="L30" s="292"/>
      <c r="M30" t="s" s="242">
        <f>IF(N30="","",M29+TIME(1,0,0))</f>
      </c>
      <c r="N30" t="s" s="220">
        <f>IF(G15=1,"",IF(P13&gt;=15,"x",""))</f>
      </c>
      <c r="O30" s="229"/>
      <c r="P30" s="170"/>
      <c r="Q30" s="118">
        <f>IF(R28="h",M17-TIME(Q26,0,0),M17+TIME(Q26,0,0))</f>
      </c>
      <c r="R30" s="121"/>
      <c r="S30" s="118"/>
      <c r="T30" s="222">
        <v>16</v>
      </c>
      <c r="U30" s="222">
        <v>2</v>
      </c>
      <c r="V30" t="s" s="223">
        <v>137</v>
      </c>
      <c r="W30" s="123"/>
      <c r="X30" s="123"/>
      <c r="Y30" s="123"/>
      <c r="Z30" s="123"/>
      <c r="AA30" s="123"/>
      <c r="AB30" s="123"/>
      <c r="AC30" s="124"/>
    </row>
    <row r="31" ht="18.75" customHeight="1">
      <c r="A31" s="293"/>
      <c r="B31" t="s" s="315">
        <v>138</v>
      </c>
      <c r="C31" s="316"/>
      <c r="D31" s="317"/>
      <c r="E31" s="318"/>
      <c r="F31" s="304"/>
      <c r="G31" t="s" s="315">
        <v>138</v>
      </c>
      <c r="H31" s="316"/>
      <c r="I31" s="317"/>
      <c r="J31" s="318"/>
      <c r="K31" s="299"/>
      <c r="L31" s="292"/>
      <c r="M31" t="s" s="242">
        <f>IF(N31="","",M30+TIME(1,0,0))</f>
      </c>
      <c r="N31" t="s" s="220">
        <f>IF(G15=1,"",IF(P13&gt;=16,"x",""))</f>
      </c>
      <c r="O31" s="229"/>
      <c r="P31" s="170"/>
      <c r="Q31" s="118">
        <f>Q30+TIME(1,0,0)</f>
      </c>
      <c r="R31" s="121"/>
      <c r="S31" s="118"/>
      <c r="T31" s="222">
        <v>17</v>
      </c>
      <c r="U31" s="222">
        <v>3</v>
      </c>
      <c r="V31" t="s" s="223">
        <v>139</v>
      </c>
      <c r="W31" s="123"/>
      <c r="X31" s="123"/>
      <c r="Y31" s="123"/>
      <c r="Z31" s="123"/>
      <c r="AA31" s="123"/>
      <c r="AB31" s="123"/>
      <c r="AC31" s="124"/>
    </row>
    <row r="32" ht="18.75" customHeight="1">
      <c r="A32" s="293"/>
      <c r="B32" t="s" s="300">
        <f>IF(AND(G14=2,G15=1),V21,IF(AND(G14=2,G15=2),V30,IF(AND(G14=2,G15=3),V36,IF(G15=1,V15,IF(G15=2,V39,IF(G15=3,V24,""))))))</f>
        <v>140</v>
      </c>
      <c r="C32" s="301"/>
      <c r="D32" s="302"/>
      <c r="E32" s="303"/>
      <c r="F32" s="319"/>
      <c r="G32" t="s" s="300">
        <f>IF(AND(G14=2,G15=1),V15,IF(AND(G14=2,G15=2),V30,IF(AND(G14=2,G15=3),V37,IF(G15=1,V17,IF(G15=2,V39,V42)))))</f>
        <v>141</v>
      </c>
      <c r="H32" s="320"/>
      <c r="I32" s="321"/>
      <c r="J32" s="322"/>
      <c r="K32" s="299"/>
      <c r="L32" s="292"/>
      <c r="M32" t="s" s="323">
        <f>IF(N32="","",M31+TIME(1,0,0))</f>
      </c>
      <c r="N32" t="s" s="220">
        <f>IF(G15=1,"",IF(P13&gt;=17,"x",""))</f>
      </c>
      <c r="O32" s="229"/>
      <c r="P32" s="170"/>
      <c r="Q32" s="118">
        <f>Q31+TIME(1,0,0)</f>
      </c>
      <c r="R32" s="121"/>
      <c r="S32" s="324"/>
      <c r="T32" s="222">
        <v>18</v>
      </c>
      <c r="U32" s="222">
        <v>3</v>
      </c>
      <c r="V32" t="s" s="223">
        <v>142</v>
      </c>
      <c r="W32" s="123"/>
      <c r="X32" s="123"/>
      <c r="Y32" s="123"/>
      <c r="Z32" s="123"/>
      <c r="AA32" s="123"/>
      <c r="AB32" s="123"/>
      <c r="AC32" s="124"/>
    </row>
    <row r="33" ht="18.75" customHeight="1">
      <c r="A33" s="293"/>
      <c r="B33" t="s" s="305">
        <f>IF(AND(G14=2,G15=1),V28,IF(AND(G14=2,G15=2),V33,IF(AND(G14=2,G15=3),V43,IF(G15=1,V16,IF(G15=2,"",IF(G15=3,V27,""))))))</f>
        <v>143</v>
      </c>
      <c r="C33" s="306"/>
      <c r="D33" s="307"/>
      <c r="E33" s="308"/>
      <c r="F33" s="325">
        <f>F42*G42</f>
        <v>1.2</v>
      </c>
      <c r="G33" t="s" s="305">
        <f>IF(AND(G14=2,G15=1),V20,IF(AND(G14=2,G15=2),V40,IF(AND(G14=2,G15=3),V41,IF(G15=1,V26,IF(G15=3,V50,"")))))</f>
        <v>144</v>
      </c>
      <c r="H33" s="326"/>
      <c r="I33" s="327"/>
      <c r="J33" s="328"/>
      <c r="K33" s="299"/>
      <c r="L33" s="292"/>
      <c r="M33" t="s" s="329">
        <f>VLOOKUP(G16,T15:V52,3)</f>
        <v>85</v>
      </c>
      <c r="N33" s="330"/>
      <c r="O33" s="229"/>
      <c r="P33" s="170"/>
      <c r="Q33" s="118"/>
      <c r="R33" s="121"/>
      <c r="S33" s="324"/>
      <c r="T33" s="222">
        <v>19</v>
      </c>
      <c r="U33" s="222">
        <v>2</v>
      </c>
      <c r="V33" t="s" s="223">
        <v>145</v>
      </c>
      <c r="W33" s="123"/>
      <c r="X33" s="123"/>
      <c r="Y33" s="123"/>
      <c r="Z33" s="123"/>
      <c r="AA33" s="123"/>
      <c r="AB33" s="123"/>
      <c r="AC33" s="124"/>
    </row>
    <row r="34" ht="18.75" customHeight="1">
      <c r="A34" s="293"/>
      <c r="B34" t="s" s="305">
        <f>IF(AND(G14=2,G15=1),V48,IF(AND(G14=2,G15=2),V47,IF(G14=2,"",IF(G15=1,V17,IF(G15=3,V49,"")))))</f>
        <v>146</v>
      </c>
      <c r="C34" s="306"/>
      <c r="D34" s="307"/>
      <c r="E34" s="308"/>
      <c r="F34" s="325">
        <f>F43*G43</f>
        <v>0.44</v>
      </c>
      <c r="G34" t="s" s="305">
        <f>IF(AND(G14=2,G15=1),V29,IF(AND(G14=2,G15=2),V45,IF(AND(G14=2,G15=3),V46,IF(G15=1,V28,IF(G15=3,"","")))))</f>
      </c>
      <c r="H34" s="326"/>
      <c r="I34" s="327"/>
      <c r="J34" s="328"/>
      <c r="K34" s="299"/>
      <c r="L34" s="292"/>
      <c r="M34" s="331">
        <f>MIN(M15:M32)</f>
      </c>
      <c r="N34" s="332"/>
      <c r="O34" s="229"/>
      <c r="P34" s="170"/>
      <c r="Q34" s="121"/>
      <c r="R34" s="121"/>
      <c r="S34" s="324"/>
      <c r="T34" s="222">
        <v>20</v>
      </c>
      <c r="U34" s="222">
        <v>2</v>
      </c>
      <c r="V34" t="s" s="333">
        <v>147</v>
      </c>
      <c r="W34" s="123"/>
      <c r="X34" s="123"/>
      <c r="Y34" s="123"/>
      <c r="Z34" s="123"/>
      <c r="AA34" s="123"/>
      <c r="AB34" s="123"/>
      <c r="AC34" s="124"/>
    </row>
    <row r="35" ht="18.75" customHeight="1">
      <c r="A35" s="293"/>
      <c r="B35" t="s" s="305">
        <f>IF(G14=2,"",IF(G15=1,V29,""))</f>
      </c>
      <c r="C35" s="306"/>
      <c r="D35" s="307"/>
      <c r="E35" s="308"/>
      <c r="F35" s="325">
        <f>F44*G44</f>
        <v>0.2</v>
      </c>
      <c r="G35" t="s" s="305">
        <f>IF(AND(G14=2,G15=3),V51,IF(G15=1,V44,""))</f>
      </c>
      <c r="H35" s="326"/>
      <c r="I35" s="327"/>
      <c r="J35" s="328"/>
      <c r="K35" s="299"/>
      <c r="L35" s="118"/>
      <c r="M35" s="334">
        <f>MAX(M15:M32)</f>
      </c>
      <c r="N35" s="330"/>
      <c r="O35" s="229"/>
      <c r="P35" s="170"/>
      <c r="Q35" s="121"/>
      <c r="R35" s="121"/>
      <c r="S35" s="118"/>
      <c r="T35" s="222">
        <v>21</v>
      </c>
      <c r="U35" s="222">
        <v>2</v>
      </c>
      <c r="V35" t="s" s="333">
        <v>148</v>
      </c>
      <c r="W35" s="123"/>
      <c r="X35" s="123"/>
      <c r="Y35" s="123"/>
      <c r="Z35" s="123"/>
      <c r="AA35" s="123"/>
      <c r="AB35" s="123"/>
      <c r="AC35" s="124"/>
    </row>
    <row r="36" ht="18.75" customHeight="1">
      <c r="A36" s="293"/>
      <c r="B36" s="335"/>
      <c r="C36" s="306"/>
      <c r="D36" s="307"/>
      <c r="E36" s="308"/>
      <c r="F36" s="325">
        <f>F45*G45</f>
        <v>0.0625</v>
      </c>
      <c r="G36" s="335"/>
      <c r="H36" s="326"/>
      <c r="I36" s="327"/>
      <c r="J36" s="328"/>
      <c r="K36" s="299"/>
      <c r="L36" s="118"/>
      <c r="M36" s="127">
        <f>G17+G18+P12/24</f>
      </c>
      <c r="N36" s="336"/>
      <c r="O36" s="229"/>
      <c r="P36" s="170"/>
      <c r="Q36" s="121"/>
      <c r="R36" s="121"/>
      <c r="S36" s="118"/>
      <c r="T36" s="222">
        <v>22</v>
      </c>
      <c r="U36" s="222">
        <v>3</v>
      </c>
      <c r="V36" t="s" s="333">
        <v>149</v>
      </c>
      <c r="W36" s="123"/>
      <c r="X36" s="123"/>
      <c r="Y36" s="123"/>
      <c r="Z36" s="123"/>
      <c r="AA36" s="123"/>
      <c r="AB36" s="123"/>
      <c r="AC36" s="124"/>
    </row>
    <row r="37" ht="18.75" customHeight="1">
      <c r="A37" s="293"/>
      <c r="B37" s="335"/>
      <c r="C37" s="337"/>
      <c r="D37" s="338"/>
      <c r="E37" s="339"/>
      <c r="F37" s="325"/>
      <c r="G37" s="335"/>
      <c r="H37" s="340"/>
      <c r="I37" s="341"/>
      <c r="J37" s="342"/>
      <c r="K37" s="299"/>
      <c r="L37" s="118"/>
      <c r="M37" s="135"/>
      <c r="N37" s="336"/>
      <c r="O37" s="229"/>
      <c r="P37" s="170"/>
      <c r="Q37" s="121"/>
      <c r="R37" s="121"/>
      <c r="S37" s="118"/>
      <c r="T37" s="222">
        <v>23</v>
      </c>
      <c r="U37" s="222">
        <v>3</v>
      </c>
      <c r="V37" t="s" s="333">
        <v>150</v>
      </c>
      <c r="W37" s="123"/>
      <c r="X37" s="123"/>
      <c r="Y37" s="123"/>
      <c r="Z37" s="123"/>
      <c r="AA37" s="123"/>
      <c r="AB37" s="123"/>
      <c r="AC37" s="124"/>
    </row>
    <row r="38" ht="18.75" customHeight="1">
      <c r="A38" s="293"/>
      <c r="B38" s="343"/>
      <c r="C38" s="344"/>
      <c r="D38" s="345"/>
      <c r="E38" s="346"/>
      <c r="F38" s="325"/>
      <c r="G38" s="343"/>
      <c r="H38" s="347"/>
      <c r="I38" s="347"/>
      <c r="J38" s="348"/>
      <c r="K38" s="299"/>
      <c r="L38" s="118"/>
      <c r="M38" s="135"/>
      <c r="N38" s="336"/>
      <c r="O38" s="229"/>
      <c r="P38" s="170"/>
      <c r="Q38" s="121"/>
      <c r="R38" s="121"/>
      <c r="S38" s="118"/>
      <c r="T38" s="222">
        <v>24</v>
      </c>
      <c r="U38" s="222">
        <v>2</v>
      </c>
      <c r="V38" t="s" s="333">
        <v>151</v>
      </c>
      <c r="W38" s="123"/>
      <c r="X38" s="123"/>
      <c r="Y38" s="123"/>
      <c r="Z38" s="123"/>
      <c r="AA38" s="123"/>
      <c r="AB38" s="123"/>
      <c r="AC38" s="124"/>
    </row>
    <row r="39" ht="18.75" customHeight="1">
      <c r="A39" s="260"/>
      <c r="B39" t="s" s="349">
        <v>152</v>
      </c>
      <c r="C39" s="350"/>
      <c r="D39" s="350"/>
      <c r="E39" s="350"/>
      <c r="F39" s="351"/>
      <c r="G39" s="352"/>
      <c r="H39" s="350"/>
      <c r="I39" s="350"/>
      <c r="J39" s="350"/>
      <c r="K39" s="353"/>
      <c r="L39" s="118"/>
      <c r="M39" s="135"/>
      <c r="N39" s="336"/>
      <c r="O39" s="229"/>
      <c r="P39" s="170"/>
      <c r="Q39" s="121"/>
      <c r="R39" s="121"/>
      <c r="S39" s="118"/>
      <c r="T39" s="222">
        <v>25</v>
      </c>
      <c r="U39" s="222">
        <v>2</v>
      </c>
      <c r="V39" t="s" s="223">
        <v>153</v>
      </c>
      <c r="W39" s="123"/>
      <c r="X39" s="123"/>
      <c r="Y39" s="123"/>
      <c r="Z39" s="123"/>
      <c r="AA39" s="123"/>
      <c r="AB39" s="123"/>
      <c r="AC39" s="124"/>
    </row>
    <row r="40" ht="18.75" customHeight="1">
      <c r="A40" s="354"/>
      <c r="B40" s="355"/>
      <c r="C40" s="245"/>
      <c r="D40" s="245"/>
      <c r="E40" s="245"/>
      <c r="F40" s="245"/>
      <c r="G40" s="245"/>
      <c r="H40" t="s" s="356">
        <v>154</v>
      </c>
      <c r="I40" s="357"/>
      <c r="J40" s="245"/>
      <c r="K40" s="353"/>
      <c r="L40" s="118"/>
      <c r="M40" s="135"/>
      <c r="N40" s="336"/>
      <c r="O40" s="229"/>
      <c r="P40" s="170"/>
      <c r="Q40" s="121"/>
      <c r="R40" s="121"/>
      <c r="S40" s="118"/>
      <c r="T40" s="222">
        <v>26</v>
      </c>
      <c r="U40" s="222">
        <v>2</v>
      </c>
      <c r="V40" t="s" s="333">
        <v>155</v>
      </c>
      <c r="W40" s="123"/>
      <c r="X40" s="123"/>
      <c r="Y40" s="123"/>
      <c r="Z40" s="123"/>
      <c r="AA40" s="123"/>
      <c r="AB40" s="123"/>
      <c r="AC40" s="124"/>
    </row>
    <row r="41" ht="18.75" customHeight="1">
      <c r="A41" s="354"/>
      <c r="B41" s="358"/>
      <c r="C41" s="359"/>
      <c r="D41" s="360"/>
      <c r="E41" s="93"/>
      <c r="F41" t="s" s="361">
        <v>156</v>
      </c>
      <c r="G41" t="s" s="362">
        <v>157</v>
      </c>
      <c r="H41" s="357"/>
      <c r="I41" s="245"/>
      <c r="J41" s="359"/>
      <c r="K41" s="353"/>
      <c r="L41" s="118"/>
      <c r="M41" s="127"/>
      <c r="N41" s="336"/>
      <c r="O41" s="229"/>
      <c r="P41" s="170"/>
      <c r="Q41" s="121"/>
      <c r="R41" s="121"/>
      <c r="S41" s="118"/>
      <c r="T41" s="222">
        <v>27</v>
      </c>
      <c r="U41" s="222">
        <v>3</v>
      </c>
      <c r="V41" t="s" s="333">
        <v>158</v>
      </c>
      <c r="W41" s="123"/>
      <c r="X41" s="123"/>
      <c r="Y41" s="123"/>
      <c r="Z41" s="123"/>
      <c r="AA41" s="123"/>
      <c r="AB41" s="123"/>
      <c r="AC41" s="124"/>
    </row>
    <row r="42" ht="18.75" customHeight="1">
      <c r="A42" s="354"/>
      <c r="B42" t="s" s="363">
        <v>159</v>
      </c>
      <c r="C42" s="364">
        <v>20</v>
      </c>
      <c r="D42" s="365"/>
      <c r="E42" t="s" s="366">
        <v>160</v>
      </c>
      <c r="F42" s="367">
        <v>20</v>
      </c>
      <c r="G42" s="368">
        <v>0.06</v>
      </c>
      <c r="H42" s="369"/>
      <c r="I42" t="s" s="363">
        <f>L20&amp;" ($/dose):"</f>
        <v>161</v>
      </c>
      <c r="J42" s="370">
        <v>2.8</v>
      </c>
      <c r="K42" s="371"/>
      <c r="L42" s="118"/>
      <c r="M42" s="127"/>
      <c r="N42" s="336"/>
      <c r="O42" s="229"/>
      <c r="P42" s="170"/>
      <c r="Q42" s="372"/>
      <c r="R42" s="121"/>
      <c r="S42" s="118"/>
      <c r="T42" s="222">
        <v>28</v>
      </c>
      <c r="U42" s="222">
        <v>3</v>
      </c>
      <c r="V42" t="s" s="333">
        <v>162</v>
      </c>
      <c r="W42" s="123"/>
      <c r="X42" s="123"/>
      <c r="Y42" s="123"/>
      <c r="Z42" s="123"/>
      <c r="AA42" s="123"/>
      <c r="AB42" s="123"/>
      <c r="AC42" s="124"/>
    </row>
    <row r="43" ht="18.75" customHeight="1">
      <c r="A43" s="354"/>
      <c r="B43" t="s" s="363">
        <v>163</v>
      </c>
      <c r="C43" s="373">
        <f>2.53*(VLOOKUP(G16,'System Inputs'!A1:AE42,18)*C42)^0.5</f>
        <v>22.62900793229787</v>
      </c>
      <c r="D43" t="s" s="374">
        <v>164</v>
      </c>
      <c r="E43" t="s" s="366">
        <v>165</v>
      </c>
      <c r="F43" s="375">
        <v>4</v>
      </c>
      <c r="G43" s="376">
        <v>0.11</v>
      </c>
      <c r="H43" s="369"/>
      <c r="I43" t="s" s="377">
        <f>L19&amp;" ($/dose):"</f>
        <v>166</v>
      </c>
      <c r="J43" s="378">
        <v>2.9</v>
      </c>
      <c r="K43" s="379"/>
      <c r="L43" s="118"/>
      <c r="M43" s="127"/>
      <c r="N43" s="336"/>
      <c r="O43" s="229"/>
      <c r="P43" s="170"/>
      <c r="Q43" s="121"/>
      <c r="R43" s="121"/>
      <c r="S43" s="118"/>
      <c r="T43" s="222">
        <v>29</v>
      </c>
      <c r="U43" s="222">
        <v>3</v>
      </c>
      <c r="V43" t="s" s="333">
        <v>167</v>
      </c>
      <c r="W43" s="123"/>
      <c r="X43" s="123"/>
      <c r="Y43" s="123"/>
      <c r="Z43" s="123"/>
      <c r="AA43" s="123"/>
      <c r="AB43" s="123"/>
      <c r="AC43" s="124"/>
    </row>
    <row r="44" ht="18.75" customHeight="1">
      <c r="A44" s="354"/>
      <c r="B44" t="s" s="363">
        <v>168</v>
      </c>
      <c r="C44" s="370">
        <v>13.5</v>
      </c>
      <c r="D44" t="s" s="374">
        <v>169</v>
      </c>
      <c r="E44" t="s" s="366">
        <v>170</v>
      </c>
      <c r="F44" s="380">
        <v>1</v>
      </c>
      <c r="G44" s="381">
        <v>0.2</v>
      </c>
      <c r="H44" s="369"/>
      <c r="I44" t="s" s="377">
        <v>171</v>
      </c>
      <c r="J44" s="378">
        <v>11</v>
      </c>
      <c r="K44" s="382"/>
      <c r="L44" s="383"/>
      <c r="M44" s="127"/>
      <c r="N44" s="336"/>
      <c r="O44" s="229"/>
      <c r="P44" s="170"/>
      <c r="Q44" s="121"/>
      <c r="R44" s="121"/>
      <c r="S44" s="118"/>
      <c r="T44" s="222">
        <v>30</v>
      </c>
      <c r="U44" s="222">
        <v>1</v>
      </c>
      <c r="V44" t="s" s="333">
        <v>172</v>
      </c>
      <c r="W44" s="123"/>
      <c r="X44" s="123"/>
      <c r="Y44" s="123"/>
      <c r="Z44" s="123"/>
      <c r="AA44" s="123"/>
      <c r="AB44" s="123"/>
      <c r="AC44" s="124"/>
    </row>
    <row r="45" ht="18.75" customHeight="1">
      <c r="A45" s="354"/>
      <c r="B45" t="s" s="363">
        <v>173</v>
      </c>
      <c r="C45" s="370">
        <v>0.3</v>
      </c>
      <c r="D45" t="s" s="374">
        <v>174</v>
      </c>
      <c r="E45" t="s" s="366">
        <v>175</v>
      </c>
      <c r="F45" s="384">
        <v>0.25</v>
      </c>
      <c r="G45" s="385">
        <v>0.25</v>
      </c>
      <c r="H45" s="369"/>
      <c r="I45" t="s" s="377">
        <v>176</v>
      </c>
      <c r="J45" s="378">
        <v>25</v>
      </c>
      <c r="K45" s="386"/>
      <c r="L45" s="387"/>
      <c r="M45" s="127"/>
      <c r="N45" s="336"/>
      <c r="O45" s="229"/>
      <c r="P45" s="170"/>
      <c r="Q45" s="121"/>
      <c r="R45" s="121"/>
      <c r="S45" s="118"/>
      <c r="T45" s="222">
        <v>31</v>
      </c>
      <c r="U45" s="222">
        <v>2</v>
      </c>
      <c r="V45" t="s" s="333">
        <v>177</v>
      </c>
      <c r="W45" s="123"/>
      <c r="X45" s="123"/>
      <c r="Y45" s="123"/>
      <c r="Z45" s="123"/>
      <c r="AA45" s="123"/>
      <c r="AB45" s="123"/>
      <c r="AC45" s="124"/>
    </row>
    <row r="46" ht="32.25" customHeight="1">
      <c r="A46" s="354"/>
      <c r="B46" s="358"/>
      <c r="C46" s="388"/>
      <c r="D46" s="245"/>
      <c r="E46" t="s" s="265">
        <v>178</v>
      </c>
      <c r="F46" s="389"/>
      <c r="G46" s="390"/>
      <c r="H46" s="391"/>
      <c r="I46" s="391"/>
      <c r="J46" s="389"/>
      <c r="K46" s="353"/>
      <c r="L46" s="392"/>
      <c r="M46" s="127"/>
      <c r="N46" s="336"/>
      <c r="O46" s="229"/>
      <c r="P46" s="393"/>
      <c r="Q46" s="121"/>
      <c r="R46" s="121"/>
      <c r="S46" s="118"/>
      <c r="T46" s="222">
        <v>32</v>
      </c>
      <c r="U46" s="222">
        <v>3</v>
      </c>
      <c r="V46" t="s" s="333">
        <v>179</v>
      </c>
      <c r="W46" s="123"/>
      <c r="X46" s="123"/>
      <c r="Y46" s="123"/>
      <c r="Z46" s="123"/>
      <c r="AA46" s="123"/>
      <c r="AB46" s="123"/>
      <c r="AC46" s="124"/>
    </row>
    <row r="47" ht="18.75" customHeight="1">
      <c r="A47" s="394"/>
      <c r="B47" t="s" s="363">
        <v>180</v>
      </c>
      <c r="C47" s="395">
        <f>VLOOKUP(G$16,'System Inputs'!A$2:I$39,7)</f>
        <v>0</v>
      </c>
      <c r="D47" s="396"/>
      <c r="E47" t="s" s="397">
        <v>181</v>
      </c>
      <c r="F47" t="s" s="398">
        <v>182</v>
      </c>
      <c r="G47" t="s" s="399">
        <v>183</v>
      </c>
      <c r="H47" s="400">
        <v>25</v>
      </c>
      <c r="I47" t="s" s="399">
        <v>184</v>
      </c>
      <c r="J47" s="401">
        <v>5</v>
      </c>
      <c r="K47" s="299"/>
      <c r="L47" s="118"/>
      <c r="M47" s="127"/>
      <c r="N47" s="120"/>
      <c r="O47" s="402"/>
      <c r="P47" s="403"/>
      <c r="Q47" s="404"/>
      <c r="R47" s="121"/>
      <c r="S47" s="118"/>
      <c r="T47" s="222">
        <v>33</v>
      </c>
      <c r="U47" s="222">
        <v>2</v>
      </c>
      <c r="V47" t="s" s="333">
        <v>185</v>
      </c>
      <c r="W47" s="123"/>
      <c r="X47" s="123"/>
      <c r="Y47" s="123"/>
      <c r="Z47" s="123"/>
      <c r="AA47" s="123"/>
      <c r="AB47" s="123"/>
      <c r="AC47" s="124"/>
    </row>
    <row r="48" ht="18.75" customHeight="1">
      <c r="A48" s="354"/>
      <c r="B48" t="s" s="363">
        <v>186</v>
      </c>
      <c r="C48" s="405">
        <v>36</v>
      </c>
      <c r="D48" s="396"/>
      <c r="E48" t="s" s="363">
        <v>181</v>
      </c>
      <c r="F48" t="s" s="406">
        <v>187</v>
      </c>
      <c r="G48" t="s" s="407">
        <v>183</v>
      </c>
      <c r="H48" s="408">
        <v>40</v>
      </c>
      <c r="I48" t="s" s="407">
        <v>184</v>
      </c>
      <c r="J48" s="409">
        <v>2</v>
      </c>
      <c r="K48" s="299"/>
      <c r="L48" s="118"/>
      <c r="M48" s="127"/>
      <c r="N48" s="120"/>
      <c r="O48" s="410"/>
      <c r="P48" s="411"/>
      <c r="Q48" s="404"/>
      <c r="R48" s="121"/>
      <c r="S48" s="118"/>
      <c r="T48" s="222">
        <v>34</v>
      </c>
      <c r="U48" s="222">
        <v>1</v>
      </c>
      <c r="V48" t="s" s="333">
        <v>188</v>
      </c>
      <c r="W48" s="123"/>
      <c r="X48" s="123"/>
      <c r="Y48" s="123"/>
      <c r="Z48" s="123"/>
      <c r="AA48" s="123"/>
      <c r="AB48" s="123"/>
      <c r="AC48" s="124"/>
    </row>
    <row r="49" ht="18.75" customHeight="1">
      <c r="A49" s="354"/>
      <c r="B49" t="s" s="363">
        <v>189</v>
      </c>
      <c r="C49" s="412">
        <f>VLOOKUP(G16,'System Inputs'!A2:AE39,31)</f>
        <v>9</v>
      </c>
      <c r="D49" s="396"/>
      <c r="E49" t="s" s="363">
        <v>181</v>
      </c>
      <c r="F49" s="413"/>
      <c r="G49" t="s" s="407">
        <v>183</v>
      </c>
      <c r="H49" s="413"/>
      <c r="I49" t="s" s="407">
        <v>184</v>
      </c>
      <c r="J49" s="370"/>
      <c r="K49" s="299"/>
      <c r="L49" s="118"/>
      <c r="M49" s="127"/>
      <c r="N49" s="120"/>
      <c r="O49" s="402"/>
      <c r="P49" s="414"/>
      <c r="Q49" s="121"/>
      <c r="R49" s="121"/>
      <c r="S49" s="118"/>
      <c r="T49" s="222">
        <v>35</v>
      </c>
      <c r="U49" s="222">
        <v>3</v>
      </c>
      <c r="V49" t="s" s="333">
        <v>190</v>
      </c>
      <c r="W49" s="123"/>
      <c r="X49" s="123"/>
      <c r="Y49" s="123"/>
      <c r="Z49" s="123"/>
      <c r="AA49" s="123"/>
      <c r="AB49" s="123"/>
      <c r="AC49" s="124"/>
    </row>
    <row r="50" ht="18.75" customHeight="1">
      <c r="A50" s="260"/>
      <c r="B50" s="415"/>
      <c r="C50" s="258"/>
      <c r="D50" s="416"/>
      <c r="E50" s="417"/>
      <c r="F50" s="418"/>
      <c r="G50" s="419"/>
      <c r="H50" s="420"/>
      <c r="I50" s="415"/>
      <c r="J50" s="258"/>
      <c r="K50" s="353"/>
      <c r="L50" s="118"/>
      <c r="M50" s="127"/>
      <c r="N50" s="120"/>
      <c r="O50" s="120"/>
      <c r="P50" s="118"/>
      <c r="Q50" s="121"/>
      <c r="R50" s="121"/>
      <c r="S50" s="118"/>
      <c r="T50" s="222">
        <v>36</v>
      </c>
      <c r="U50" s="222">
        <v>3</v>
      </c>
      <c r="V50" t="s" s="333">
        <v>191</v>
      </c>
      <c r="W50" s="123"/>
      <c r="X50" s="123"/>
      <c r="Y50" s="123"/>
      <c r="Z50" s="123"/>
      <c r="AA50" s="123"/>
      <c r="AB50" s="123"/>
      <c r="AC50" s="124"/>
    </row>
    <row r="51" ht="18.75" customHeight="1">
      <c r="A51" s="293"/>
      <c r="B51" t="s" s="421">
        <v>192</v>
      </c>
      <c r="C51" s="422"/>
      <c r="D51" t="s" s="149">
        <f>VLOOKUP(G16,'System Inputs'!$A$2:$B$39,2)</f>
        <v>193</v>
      </c>
      <c r="E51" s="423"/>
      <c r="F51" s="152"/>
      <c r="G51" s="152"/>
      <c r="H51" s="424"/>
      <c r="I51" s="425"/>
      <c r="J51" s="426"/>
      <c r="K51" s="427"/>
      <c r="L51" s="118"/>
      <c r="M51" s="127"/>
      <c r="N51" s="120"/>
      <c r="O51" s="120"/>
      <c r="P51" s="118"/>
      <c r="Q51" s="121"/>
      <c r="R51" s="121"/>
      <c r="S51" s="118"/>
      <c r="T51" s="222">
        <v>37</v>
      </c>
      <c r="U51" s="222">
        <v>3</v>
      </c>
      <c r="V51" t="s" s="333">
        <v>194</v>
      </c>
      <c r="W51" s="123"/>
      <c r="X51" s="123"/>
      <c r="Y51" s="123"/>
      <c r="Z51" s="123"/>
      <c r="AA51" s="123"/>
      <c r="AB51" s="123"/>
      <c r="AC51" s="124"/>
    </row>
    <row r="52" ht="18.75" customHeight="1">
      <c r="A52" s="293"/>
      <c r="B52" t="s" s="428">
        <v>195</v>
      </c>
      <c r="C52" s="429"/>
      <c r="D52" s="430"/>
      <c r="E52" s="431"/>
      <c r="F52" s="432"/>
      <c r="G52" s="433"/>
      <c r="H52" s="431"/>
      <c r="I52" s="432"/>
      <c r="J52" s="434"/>
      <c r="K52" s="427"/>
      <c r="L52" s="118"/>
      <c r="M52" s="127"/>
      <c r="N52" s="120"/>
      <c r="O52" s="120">
        <f>IF(M38=Q$28,R$28,IF(M38=Q$29,R$29,IF(M38=Q$30,R$30,IF(M38=Q$31,R$31,IF(M38=Q$32,R$32,"")))))</f>
      </c>
      <c r="P52" s="118"/>
      <c r="Q52" s="121"/>
      <c r="R52" s="121"/>
      <c r="S52" s="118"/>
      <c r="T52" s="222">
        <v>38</v>
      </c>
      <c r="U52" s="222">
        <v>3</v>
      </c>
      <c r="V52" t="s" s="333">
        <v>196</v>
      </c>
      <c r="W52" s="123"/>
      <c r="X52" s="123"/>
      <c r="Y52" s="123"/>
      <c r="Z52" s="123"/>
      <c r="AA52" s="123"/>
      <c r="AB52" s="123"/>
      <c r="AC52" s="124"/>
    </row>
    <row r="53" ht="18.75" customHeight="1">
      <c r="A53" s="293"/>
      <c r="B53" t="s" s="300">
        <f>IF(VLOOKUP(G$16,'System Activities'!$L$2:$T$46,2)="","",VLOOKUP(G$16,'System Activities'!$L$2:$T$46,2))</f>
        <v>197</v>
      </c>
      <c r="C53" s="435"/>
      <c r="D53" s="435"/>
      <c r="E53" s="435"/>
      <c r="F53" s="435"/>
      <c r="G53" s="435"/>
      <c r="H53" s="435"/>
      <c r="I53" s="435"/>
      <c r="J53" s="436"/>
      <c r="K53" s="299"/>
      <c r="L53" s="118"/>
      <c r="M53" s="127"/>
      <c r="N53" s="120"/>
      <c r="O53" s="120">
        <f>IF(M39=Q$28,R$28,IF(M39=Q$29,R$29,IF(M39=Q$30,R$30,IF(M39=Q$31,R$31,IF(M39=Q$32,R$32,"")))))</f>
      </c>
      <c r="P53" s="118"/>
      <c r="Q53" s="121"/>
      <c r="R53" s="121"/>
      <c r="S53" s="118"/>
      <c r="T53" s="123"/>
      <c r="U53" s="123"/>
      <c r="V53" s="147"/>
      <c r="W53" s="123"/>
      <c r="X53" s="123"/>
      <c r="Y53" s="123"/>
      <c r="Z53" s="123"/>
      <c r="AA53" s="123"/>
      <c r="AB53" s="123"/>
      <c r="AC53" s="124"/>
    </row>
    <row r="54" ht="18.75" customHeight="1">
      <c r="A54" s="293"/>
      <c r="B54" t="s" s="305">
        <f>IF(VLOOKUP(G$16,'System Activities'!$L$2:$T$46,3)="","",VLOOKUP(G$16,'System Activities'!$L$2:$T$46,3))</f>
        <v>198</v>
      </c>
      <c r="C54" s="437"/>
      <c r="D54" s="438"/>
      <c r="E54" s="439"/>
      <c r="F54" s="440"/>
      <c r="G54" s="439"/>
      <c r="H54" s="439"/>
      <c r="I54" s="439"/>
      <c r="J54" s="441"/>
      <c r="K54" s="299"/>
      <c r="L54" s="118"/>
      <c r="M54" s="127"/>
      <c r="N54" s="120"/>
      <c r="O54" s="120">
        <f>IF(M40=Q$28,R$28,IF(M40=Q$29,R$29,IF(M40=Q$30,R$30,IF(M40=Q$31,R$31,IF(M40=Q$32,R$32,"")))))</f>
      </c>
      <c r="P54" s="118"/>
      <c r="Q54" s="118"/>
      <c r="R54" s="118"/>
      <c r="S54" s="118"/>
      <c r="T54" s="123"/>
      <c r="U54" s="123"/>
      <c r="V54" s="147"/>
      <c r="W54" s="123"/>
      <c r="X54" s="123"/>
      <c r="Y54" s="123"/>
      <c r="Z54" s="123"/>
      <c r="AA54" s="123"/>
      <c r="AB54" s="123"/>
      <c r="AC54" s="124"/>
    </row>
    <row r="55" ht="18.75" customHeight="1">
      <c r="A55" s="293"/>
      <c r="B55" t="s" s="305">
        <f>IF(VLOOKUP(G$16,'System Activities'!$L$2:$T$46,4)="","",VLOOKUP(G$16,'System Activities'!$L$2:$T$46,4))</f>
        <v>199</v>
      </c>
      <c r="C55" s="437"/>
      <c r="D55" s="438"/>
      <c r="E55" s="439"/>
      <c r="F55" s="440"/>
      <c r="G55" s="439"/>
      <c r="H55" s="439"/>
      <c r="I55" s="439"/>
      <c r="J55" s="441"/>
      <c r="K55" s="299"/>
      <c r="L55" s="118"/>
      <c r="M55" s="127"/>
      <c r="N55" s="120"/>
      <c r="O55" s="120"/>
      <c r="P55" s="118"/>
      <c r="Q55" s="118"/>
      <c r="R55" s="118"/>
      <c r="S55" s="118"/>
      <c r="T55" s="123"/>
      <c r="U55" s="123"/>
      <c r="V55" s="123"/>
      <c r="W55" s="123"/>
      <c r="X55" s="123"/>
      <c r="Y55" s="123"/>
      <c r="Z55" s="123"/>
      <c r="AA55" s="123"/>
      <c r="AB55" s="123"/>
      <c r="AC55" s="124"/>
    </row>
    <row r="56" ht="18.75" customHeight="1">
      <c r="A56" s="293"/>
      <c r="B56" t="s" s="305">
        <f>IF(VLOOKUP(G$16,'System Activities'!$L$2:$T$46,5)="","",VLOOKUP(G$16,'System Activities'!$L$2:$T$46,5))</f>
        <v>200</v>
      </c>
      <c r="C56" s="437"/>
      <c r="D56" s="438"/>
      <c r="E56" s="439"/>
      <c r="F56" s="440"/>
      <c r="G56" s="439"/>
      <c r="H56" s="439"/>
      <c r="I56" s="439"/>
      <c r="J56" s="441"/>
      <c r="K56" s="299"/>
      <c r="L56" s="442"/>
      <c r="M56" s="443"/>
      <c r="N56" s="444"/>
      <c r="O56" s="444"/>
      <c r="P56" s="118"/>
      <c r="Q56" s="118"/>
      <c r="R56" s="118"/>
      <c r="S56" s="118"/>
      <c r="T56" s="123"/>
      <c r="U56" s="123"/>
      <c r="V56" s="123"/>
      <c r="W56" s="123"/>
      <c r="X56" s="123"/>
      <c r="Y56" s="123"/>
      <c r="Z56" s="123"/>
      <c r="AA56" s="123"/>
      <c r="AB56" s="123"/>
      <c r="AC56" s="124"/>
    </row>
    <row r="57" ht="18.75" customHeight="1">
      <c r="A57" s="293"/>
      <c r="B57" t="s" s="305">
        <f>IF(VLOOKUP(G$16,'System Activities'!$L$2:$T$46,6)="","",VLOOKUP(G$16,'System Activities'!$L$2:$T$46,6))</f>
        <v>201</v>
      </c>
      <c r="C57" s="437"/>
      <c r="D57" s="438"/>
      <c r="E57" s="439"/>
      <c r="F57" s="440"/>
      <c r="G57" s="439"/>
      <c r="H57" s="439"/>
      <c r="I57" s="439"/>
      <c r="J57" s="441"/>
      <c r="K57" s="299"/>
      <c r="L57" s="442"/>
      <c r="M57" s="443"/>
      <c r="N57" s="444"/>
      <c r="O57" s="444"/>
      <c r="P57" s="118"/>
      <c r="Q57" s="118"/>
      <c r="R57" s="118"/>
      <c r="S57" s="118"/>
      <c r="T57" s="123"/>
      <c r="U57" s="123"/>
      <c r="V57" s="123"/>
      <c r="W57" s="123"/>
      <c r="X57" s="123"/>
      <c r="Y57" s="123"/>
      <c r="Z57" s="123"/>
      <c r="AA57" s="123"/>
      <c r="AB57" s="123"/>
      <c r="AC57" s="124"/>
    </row>
    <row r="58" ht="18.75" customHeight="1">
      <c r="A58" s="293"/>
      <c r="B58" t="s" s="305">
        <f>IF(VLOOKUP(G$16,'System Activities'!$L$2:$T$46,7)="","",VLOOKUP(G$16,'System Activities'!$L$2:$T$46,7))</f>
        <v>202</v>
      </c>
      <c r="C58" s="437"/>
      <c r="D58" s="438"/>
      <c r="E58" s="439"/>
      <c r="F58" s="440"/>
      <c r="G58" s="439"/>
      <c r="H58" s="439"/>
      <c r="I58" s="439"/>
      <c r="J58" s="441"/>
      <c r="K58" s="299"/>
      <c r="L58" s="442"/>
      <c r="M58" s="443"/>
      <c r="N58" s="444"/>
      <c r="O58" s="444"/>
      <c r="P58" s="118"/>
      <c r="Q58" s="118"/>
      <c r="R58" s="118"/>
      <c r="S58" s="118"/>
      <c r="T58" s="123"/>
      <c r="U58" s="123"/>
      <c r="V58" s="123"/>
      <c r="W58" s="123"/>
      <c r="X58" s="123"/>
      <c r="Y58" s="123"/>
      <c r="Z58" s="123"/>
      <c r="AA58" s="123"/>
      <c r="AB58" s="123"/>
      <c r="AC58" s="124"/>
    </row>
    <row r="59" ht="18.75" customHeight="1">
      <c r="A59" s="293"/>
      <c r="B59" t="s" s="305">
        <f>IF(VLOOKUP(G$16,'System Activities'!$L$2:$T$46,8)="","",VLOOKUP(G$16,'System Activities'!$L$2:$T$46,8))</f>
      </c>
      <c r="C59" s="437"/>
      <c r="D59" s="438"/>
      <c r="E59" s="439"/>
      <c r="F59" s="440"/>
      <c r="G59" s="439"/>
      <c r="H59" s="439"/>
      <c r="I59" s="439"/>
      <c r="J59" s="441"/>
      <c r="K59" s="299"/>
      <c r="L59" s="442"/>
      <c r="M59" s="443"/>
      <c r="N59" s="444"/>
      <c r="O59" s="444"/>
      <c r="P59" s="118"/>
      <c r="Q59" s="118"/>
      <c r="R59" s="118"/>
      <c r="S59" s="118"/>
      <c r="T59" s="123"/>
      <c r="U59" s="123"/>
      <c r="V59" s="123"/>
      <c r="W59" s="123"/>
      <c r="X59" s="123"/>
      <c r="Y59" s="123"/>
      <c r="Z59" s="123"/>
      <c r="AA59" s="123"/>
      <c r="AB59" s="123"/>
      <c r="AC59" s="124"/>
    </row>
    <row r="60" ht="18.75" customHeight="1">
      <c r="A60" s="293"/>
      <c r="B60" t="s" s="314">
        <f>IF(VLOOKUP(G$16,'System Activities'!$L$2:$T$46,9)="","",VLOOKUP(G$16,'System Activities'!$L$2:$T$46,9))</f>
        <v>203</v>
      </c>
      <c r="C60" s="445"/>
      <c r="D60" s="446"/>
      <c r="E60" s="447"/>
      <c r="F60" s="448"/>
      <c r="G60" s="447"/>
      <c r="H60" s="447"/>
      <c r="I60" s="447"/>
      <c r="J60" s="449"/>
      <c r="K60" s="299"/>
      <c r="L60" s="442"/>
      <c r="M60" s="443"/>
      <c r="N60" s="444"/>
      <c r="O60" s="444"/>
      <c r="P60" s="118"/>
      <c r="Q60" s="121"/>
      <c r="R60" s="121"/>
      <c r="S60" s="118"/>
      <c r="T60" s="123"/>
      <c r="U60" s="123"/>
      <c r="V60" s="123"/>
      <c r="W60" s="123"/>
      <c r="X60" s="123"/>
      <c r="Y60" s="123"/>
      <c r="Z60" s="123"/>
      <c r="AA60" s="123"/>
      <c r="AB60" s="123"/>
      <c r="AC60" s="124"/>
    </row>
    <row r="61" ht="18.75" customHeight="1">
      <c r="A61" s="293"/>
      <c r="B61" t="s" s="450">
        <v>204</v>
      </c>
      <c r="C61" t="s" s="451">
        <v>205</v>
      </c>
      <c r="D61" t="s" s="452">
        <v>206</v>
      </c>
      <c r="E61" t="s" s="453">
        <v>207</v>
      </c>
      <c r="F61" s="273"/>
      <c r="G61" s="454"/>
      <c r="H61" s="455"/>
      <c r="I61" s="454"/>
      <c r="J61" s="456"/>
      <c r="K61" s="299"/>
      <c r="L61" s="442"/>
      <c r="M61" s="443"/>
      <c r="N61" s="444"/>
      <c r="O61" s="444"/>
      <c r="P61" s="118"/>
      <c r="Q61" s="121"/>
      <c r="R61" s="121"/>
      <c r="S61" s="118"/>
      <c r="T61" s="123"/>
      <c r="U61" s="123"/>
      <c r="V61" s="123"/>
      <c r="W61" s="123"/>
      <c r="X61" s="123"/>
      <c r="Y61" s="123"/>
      <c r="Z61" s="123"/>
      <c r="AA61" s="123"/>
      <c r="AB61" s="123"/>
      <c r="AC61" s="124"/>
    </row>
    <row r="62" ht="18.75" customHeight="1">
      <c r="A62" s="293"/>
      <c r="B62" s="457">
        <f>IF(VLOOKUP(G$16*10+1,'System Activities'!B2:C340,2)="","",G$17+VLOOKUP(G$16*10+1,'System Activities'!B2:C340,2))</f>
        <v>43443</v>
      </c>
      <c r="C62" t="s" s="458">
        <v>208</v>
      </c>
      <c r="D62" s="459">
        <f>IF(C62="","",1)</f>
        <v>1</v>
      </c>
      <c r="E62" t="s" s="460">
        <v>209</v>
      </c>
      <c r="F62" s="301"/>
      <c r="G62" s="461"/>
      <c r="H62" s="461"/>
      <c r="I62" s="461"/>
      <c r="J62" s="462"/>
      <c r="K62" s="299"/>
      <c r="L62" s="442"/>
      <c r="M62" s="443"/>
      <c r="N62" s="444"/>
      <c r="O62" s="444"/>
      <c r="P62" s="118"/>
      <c r="Q62" s="121"/>
      <c r="R62" s="121"/>
      <c r="S62" s="118"/>
      <c r="T62" s="123"/>
      <c r="U62" s="123"/>
      <c r="V62" s="123"/>
      <c r="W62" s="123"/>
      <c r="X62" s="123"/>
      <c r="Y62" s="123"/>
      <c r="Z62" s="123"/>
      <c r="AA62" s="123"/>
      <c r="AB62" s="123"/>
      <c r="AC62" s="124"/>
    </row>
    <row r="63" ht="18.75" customHeight="1">
      <c r="A63" s="293"/>
      <c r="B63" s="463"/>
      <c r="C63" s="464"/>
      <c r="D63" s="464"/>
      <c r="E63" t="s" s="465">
        <v>210</v>
      </c>
      <c r="F63" s="306"/>
      <c r="G63" s="466"/>
      <c r="H63" s="466"/>
      <c r="I63" s="466"/>
      <c r="J63" s="467"/>
      <c r="K63" s="299"/>
      <c r="L63" s="442"/>
      <c r="M63" s="443"/>
      <c r="N63" s="444"/>
      <c r="O63" s="444"/>
      <c r="P63" s="118"/>
      <c r="Q63" s="121"/>
      <c r="R63" s="121"/>
      <c r="S63" s="118"/>
      <c r="T63" s="123"/>
      <c r="U63" s="123"/>
      <c r="V63" s="123"/>
      <c r="W63" s="123"/>
      <c r="X63" s="123"/>
      <c r="Y63" s="123"/>
      <c r="Z63" s="123"/>
      <c r="AA63" s="123"/>
      <c r="AB63" s="123"/>
      <c r="AC63" s="124"/>
    </row>
    <row r="64" ht="18.75" customHeight="1">
      <c r="A64" s="293"/>
      <c r="B64" s="463"/>
      <c r="C64" s="464"/>
      <c r="D64" s="464"/>
      <c r="E64" t="s" s="465"/>
      <c r="F64" s="306"/>
      <c r="G64" s="466"/>
      <c r="H64" s="466"/>
      <c r="I64" s="466"/>
      <c r="J64" s="467"/>
      <c r="K64" s="299"/>
      <c r="L64" s="442"/>
      <c r="M64" s="443"/>
      <c r="N64" s="444"/>
      <c r="O64" s="444"/>
      <c r="P64" s="118"/>
      <c r="Q64" s="121"/>
      <c r="R64" s="121"/>
      <c r="S64" s="118"/>
      <c r="T64" s="123"/>
      <c r="U64" s="123"/>
      <c r="V64" s="123"/>
      <c r="W64" s="123"/>
      <c r="X64" s="123"/>
      <c r="Y64" s="123"/>
      <c r="Z64" s="123"/>
      <c r="AA64" s="123"/>
      <c r="AB64" s="123"/>
      <c r="AC64" s="124"/>
    </row>
    <row r="65" ht="18.75" customHeight="1">
      <c r="A65" s="293"/>
      <c r="B65" s="463"/>
      <c r="C65" s="464"/>
      <c r="D65" s="464"/>
      <c r="E65" t="s" s="465"/>
      <c r="F65" s="306"/>
      <c r="G65" s="466"/>
      <c r="H65" s="466"/>
      <c r="I65" s="466"/>
      <c r="J65" s="467"/>
      <c r="K65" s="299"/>
      <c r="L65" s="443"/>
      <c r="M65" s="443"/>
      <c r="N65" s="444"/>
      <c r="O65" s="444"/>
      <c r="P65" s="127"/>
      <c r="Q65" s="468"/>
      <c r="R65" s="468"/>
      <c r="S65" s="127"/>
      <c r="T65" s="123"/>
      <c r="U65" s="123"/>
      <c r="V65" s="123"/>
      <c r="W65" s="123"/>
      <c r="X65" s="123"/>
      <c r="Y65" s="123"/>
      <c r="Z65" s="123"/>
      <c r="AA65" s="123"/>
      <c r="AB65" s="123"/>
      <c r="AC65" s="124"/>
    </row>
    <row r="66" ht="18.75" customHeight="1">
      <c r="A66" s="293"/>
      <c r="B66" s="463">
        <f>IF(VLOOKUP(G$16*10+2,'System Activities'!B$2:C$340,2)="","",G$17+VLOOKUP(G$16*10+2,'System Activities'!B$2:C$340,2))</f>
        <v>43448</v>
      </c>
      <c r="C66" t="s" s="469">
        <v>211</v>
      </c>
      <c r="D66" s="470">
        <f>IF(C66="","",2)</f>
        <v>2</v>
      </c>
      <c r="E66" t="s" s="465">
        <v>212</v>
      </c>
      <c r="F66" s="306"/>
      <c r="G66" s="466"/>
      <c r="H66" s="466"/>
      <c r="I66" s="466"/>
      <c r="J66" s="467"/>
      <c r="K66" s="299"/>
      <c r="L66" s="443"/>
      <c r="M66" s="443"/>
      <c r="N66" s="444"/>
      <c r="O66" s="444"/>
      <c r="P66" s="127"/>
      <c r="Q66" s="468"/>
      <c r="R66" s="468"/>
      <c r="S66" s="127"/>
      <c r="T66" s="123"/>
      <c r="U66" s="123"/>
      <c r="V66" s="123"/>
      <c r="W66" s="123"/>
      <c r="X66" s="123"/>
      <c r="Y66" s="123"/>
      <c r="Z66" s="123"/>
      <c r="AA66" s="123"/>
      <c r="AB66" s="123"/>
      <c r="AC66" s="124"/>
    </row>
    <row r="67" ht="18.75" customHeight="1">
      <c r="A67" s="293"/>
      <c r="B67" s="463"/>
      <c r="C67" s="464"/>
      <c r="D67" s="464"/>
      <c r="E67" t="s" s="465">
        <v>213</v>
      </c>
      <c r="F67" s="306"/>
      <c r="G67" s="466"/>
      <c r="H67" s="466"/>
      <c r="I67" s="466"/>
      <c r="J67" s="467"/>
      <c r="K67" s="299"/>
      <c r="L67" s="443"/>
      <c r="M67" s="443"/>
      <c r="N67" s="444"/>
      <c r="O67" s="444"/>
      <c r="P67" s="127"/>
      <c r="Q67" s="468"/>
      <c r="R67" s="468"/>
      <c r="S67" s="127"/>
      <c r="T67" s="123"/>
      <c r="U67" s="123"/>
      <c r="V67" s="123"/>
      <c r="W67" s="123"/>
      <c r="X67" s="123"/>
      <c r="Y67" s="123"/>
      <c r="Z67" s="123"/>
      <c r="AA67" s="123"/>
      <c r="AB67" s="123"/>
      <c r="AC67" s="124"/>
    </row>
    <row r="68" ht="18.75" customHeight="1">
      <c r="A68" s="293"/>
      <c r="B68" s="463"/>
      <c r="C68" s="464"/>
      <c r="D68" s="464"/>
      <c r="E68" s="471">
        <v>0.4166666666666666</v>
      </c>
      <c r="F68" s="306"/>
      <c r="G68" s="466"/>
      <c r="H68" s="466"/>
      <c r="I68" s="466"/>
      <c r="J68" s="467"/>
      <c r="K68" s="299"/>
      <c r="L68" s="443"/>
      <c r="M68" s="443"/>
      <c r="N68" s="444"/>
      <c r="O68" s="444"/>
      <c r="P68" s="127"/>
      <c r="Q68" s="468"/>
      <c r="R68" s="468"/>
      <c r="S68" s="127"/>
      <c r="T68" s="123"/>
      <c r="U68" s="123"/>
      <c r="V68" s="123"/>
      <c r="W68" s="123"/>
      <c r="X68" s="123"/>
      <c r="Y68" s="123"/>
      <c r="Z68" s="123"/>
      <c r="AA68" s="123"/>
      <c r="AB68" s="123"/>
      <c r="AC68" s="124"/>
    </row>
    <row r="69" ht="18.75" customHeight="1">
      <c r="A69" s="293"/>
      <c r="B69" s="463"/>
      <c r="C69" s="464"/>
      <c r="D69" s="464"/>
      <c r="E69" t="s" s="465">
        <v>214</v>
      </c>
      <c r="F69" s="306"/>
      <c r="G69" s="466"/>
      <c r="H69" s="466"/>
      <c r="I69" s="466"/>
      <c r="J69" s="467"/>
      <c r="K69" s="299"/>
      <c r="L69" s="443"/>
      <c r="M69" s="443"/>
      <c r="N69" s="444"/>
      <c r="O69" s="444"/>
      <c r="P69" s="127"/>
      <c r="Q69" s="468"/>
      <c r="R69" s="468"/>
      <c r="S69" s="127"/>
      <c r="T69" s="123"/>
      <c r="U69" s="123"/>
      <c r="V69" s="123"/>
      <c r="W69" s="123"/>
      <c r="X69" s="123"/>
      <c r="Y69" s="123"/>
      <c r="Z69" s="123"/>
      <c r="AA69" s="123"/>
      <c r="AB69" s="123"/>
      <c r="AC69" s="124"/>
    </row>
    <row r="70" ht="18.75" customHeight="1">
      <c r="A70" s="293"/>
      <c r="B70" s="463"/>
      <c r="C70" s="464"/>
      <c r="D70" s="464"/>
      <c r="E70" s="471"/>
      <c r="F70" s="306"/>
      <c r="G70" s="466"/>
      <c r="H70" s="466"/>
      <c r="I70" s="466"/>
      <c r="J70" s="467"/>
      <c r="K70" s="299"/>
      <c r="L70" s="443"/>
      <c r="M70" s="443"/>
      <c r="N70" s="444"/>
      <c r="O70" s="444"/>
      <c r="P70" s="127"/>
      <c r="Q70" s="468"/>
      <c r="R70" s="468"/>
      <c r="S70" s="127"/>
      <c r="T70" s="123"/>
      <c r="U70" s="123"/>
      <c r="V70" s="123"/>
      <c r="W70" s="123"/>
      <c r="X70" s="123"/>
      <c r="Y70" s="123"/>
      <c r="Z70" s="123"/>
      <c r="AA70" s="123"/>
      <c r="AB70" s="123"/>
      <c r="AC70" s="124"/>
    </row>
    <row r="71" ht="18.75" customHeight="1">
      <c r="A71" s="293"/>
      <c r="B71" s="463">
        <f>IF(VLOOKUP(G$16*10+3,'System Activities'!B$2:C$340,2)="","",G$17+VLOOKUP(G$16*10+3,'System Activities'!B$2:C$340,2))</f>
        <v>43451</v>
      </c>
      <c r="C71" t="s" s="469">
        <v>215</v>
      </c>
      <c r="D71" s="470">
        <f>IF(C71="","",3)</f>
        <v>3</v>
      </c>
      <c r="E71" t="s" s="465">
        <v>210</v>
      </c>
      <c r="F71" s="306"/>
      <c r="G71" s="466"/>
      <c r="H71" s="466"/>
      <c r="I71" s="466"/>
      <c r="J71" s="467"/>
      <c r="K71" s="299"/>
      <c r="L71" s="443"/>
      <c r="M71" s="443"/>
      <c r="N71" s="444"/>
      <c r="O71" s="444"/>
      <c r="P71" s="127"/>
      <c r="Q71" s="468"/>
      <c r="R71" s="468"/>
      <c r="S71" s="127"/>
      <c r="T71" s="123"/>
      <c r="U71" s="123"/>
      <c r="V71" s="123"/>
      <c r="W71" s="123"/>
      <c r="X71" s="123"/>
      <c r="Y71" s="123"/>
      <c r="Z71" s="123"/>
      <c r="AA71" s="123"/>
      <c r="AB71" s="123"/>
      <c r="AC71" s="124"/>
    </row>
    <row r="72" ht="18.75" customHeight="1">
      <c r="A72" s="293"/>
      <c r="B72" s="463"/>
      <c r="C72" s="464"/>
      <c r="D72" s="464"/>
      <c r="E72" t="s" s="465">
        <v>216</v>
      </c>
      <c r="F72" s="306"/>
      <c r="G72" s="466"/>
      <c r="H72" s="466"/>
      <c r="I72" s="466"/>
      <c r="J72" s="467"/>
      <c r="K72" s="299"/>
      <c r="L72" s="443"/>
      <c r="M72" s="443"/>
      <c r="N72" s="444"/>
      <c r="O72" s="444"/>
      <c r="P72" s="127"/>
      <c r="Q72" s="468"/>
      <c r="R72" s="468"/>
      <c r="S72" s="127"/>
      <c r="T72" s="123"/>
      <c r="U72" s="123"/>
      <c r="V72" s="123"/>
      <c r="W72" s="123"/>
      <c r="X72" s="123"/>
      <c r="Y72" s="123"/>
      <c r="Z72" s="123"/>
      <c r="AA72" s="123"/>
      <c r="AB72" s="123"/>
      <c r="AC72" s="124"/>
    </row>
    <row r="73" ht="18.75" customHeight="1">
      <c r="A73" s="293"/>
      <c r="B73" s="463"/>
      <c r="C73" s="464"/>
      <c r="D73" s="464"/>
      <c r="E73" s="472"/>
      <c r="F73" s="306"/>
      <c r="G73" s="466"/>
      <c r="H73" s="466"/>
      <c r="I73" s="466"/>
      <c r="J73" s="467"/>
      <c r="K73" s="299"/>
      <c r="L73" s="443"/>
      <c r="M73" s="443"/>
      <c r="N73" s="444"/>
      <c r="O73" s="444"/>
      <c r="P73" s="127"/>
      <c r="Q73" s="468"/>
      <c r="R73" s="468"/>
      <c r="S73" s="127"/>
      <c r="T73" s="123"/>
      <c r="U73" s="123"/>
      <c r="V73" s="123"/>
      <c r="W73" s="123"/>
      <c r="X73" s="123"/>
      <c r="Y73" s="123"/>
      <c r="Z73" s="123"/>
      <c r="AA73" s="123"/>
      <c r="AB73" s="123"/>
      <c r="AC73" s="124"/>
    </row>
    <row r="74" ht="18.75" customHeight="1">
      <c r="A74" s="293"/>
      <c r="B74" s="463"/>
      <c r="C74" s="464"/>
      <c r="D74" s="464"/>
      <c r="E74" s="472"/>
      <c r="F74" s="306"/>
      <c r="G74" s="466"/>
      <c r="H74" s="466"/>
      <c r="I74" s="466"/>
      <c r="J74" s="467"/>
      <c r="K74" s="299"/>
      <c r="L74" s="443"/>
      <c r="M74" s="443"/>
      <c r="N74" s="444"/>
      <c r="O74" s="444"/>
      <c r="P74" s="127"/>
      <c r="Q74" s="468"/>
      <c r="R74" s="468"/>
      <c r="S74" s="127"/>
      <c r="T74" s="123"/>
      <c r="U74" s="123"/>
      <c r="V74" s="123"/>
      <c r="W74" s="123"/>
      <c r="X74" s="123"/>
      <c r="Y74" s="123"/>
      <c r="Z74" s="123"/>
      <c r="AA74" s="123"/>
      <c r="AB74" s="123"/>
      <c r="AC74" s="124"/>
    </row>
    <row r="75" ht="18.75" customHeight="1">
      <c r="A75" s="293"/>
      <c r="B75" s="463"/>
      <c r="C75" s="464"/>
      <c r="D75" s="464"/>
      <c r="E75" s="471"/>
      <c r="F75" s="306"/>
      <c r="G75" s="466"/>
      <c r="H75" s="466"/>
      <c r="I75" s="466"/>
      <c r="J75" s="467"/>
      <c r="K75" s="299"/>
      <c r="L75" s="443"/>
      <c r="M75" s="443"/>
      <c r="N75" s="444"/>
      <c r="O75" s="444"/>
      <c r="P75" s="127"/>
      <c r="Q75" s="468"/>
      <c r="R75" s="468"/>
      <c r="S75" s="127"/>
      <c r="T75" s="123"/>
      <c r="U75" s="123"/>
      <c r="V75" s="123"/>
      <c r="W75" s="123"/>
      <c r="X75" s="123"/>
      <c r="Y75" s="123"/>
      <c r="Z75" s="123"/>
      <c r="AA75" s="123"/>
      <c r="AB75" s="123"/>
      <c r="AC75" s="124"/>
    </row>
    <row r="76" ht="18.75" customHeight="1">
      <c r="A76" s="293"/>
      <c r="B76" s="463">
        <f>IF(VLOOKUP(G$16*10+4,'System Activities'!B$2:C$340,2)="","",G$17+VLOOKUP(G$16*10+4,'System Activities'!B$2:C$340,2))</f>
        <v>43451</v>
      </c>
      <c r="C76" t="s" s="469">
        <v>215</v>
      </c>
      <c r="D76" s="470">
        <f>IF(C76="","",4)</f>
        <v>4</v>
      </c>
      <c r="E76" t="s" s="465">
        <v>217</v>
      </c>
      <c r="F76" s="306"/>
      <c r="G76" s="466"/>
      <c r="H76" s="466"/>
      <c r="I76" s="466"/>
      <c r="J76" s="467"/>
      <c r="K76" s="299"/>
      <c r="L76" s="443"/>
      <c r="M76" s="443"/>
      <c r="N76" s="444"/>
      <c r="O76" s="444"/>
      <c r="P76" s="127"/>
      <c r="Q76" s="468"/>
      <c r="R76" s="468"/>
      <c r="S76" s="127"/>
      <c r="T76" s="123"/>
      <c r="U76" s="123"/>
      <c r="V76" s="123"/>
      <c r="W76" s="123"/>
      <c r="X76" s="123"/>
      <c r="Y76" s="123"/>
      <c r="Z76" s="123"/>
      <c r="AA76" s="123"/>
      <c r="AB76" s="123"/>
      <c r="AC76" s="124"/>
    </row>
    <row r="77" ht="18.75" customHeight="1">
      <c r="A77" s="293"/>
      <c r="B77" s="463"/>
      <c r="C77" s="464"/>
      <c r="D77" s="464"/>
      <c r="E77" t="s" s="465">
        <v>203</v>
      </c>
      <c r="F77" s="306"/>
      <c r="G77" s="466"/>
      <c r="H77" s="466"/>
      <c r="I77" s="466"/>
      <c r="J77" s="467"/>
      <c r="K77" s="299"/>
      <c r="L77" s="443"/>
      <c r="M77" s="443"/>
      <c r="N77" s="444"/>
      <c r="O77" s="444"/>
      <c r="P77" s="127"/>
      <c r="Q77" s="468"/>
      <c r="R77" s="468"/>
      <c r="S77" s="127"/>
      <c r="T77" s="123"/>
      <c r="U77" s="123"/>
      <c r="V77" s="123"/>
      <c r="W77" s="123"/>
      <c r="X77" s="123"/>
      <c r="Y77" s="123"/>
      <c r="Z77" s="123"/>
      <c r="AA77" s="123"/>
      <c r="AB77" s="123"/>
      <c r="AC77" s="124"/>
    </row>
    <row r="78" ht="18.75" customHeight="1">
      <c r="A78" s="293"/>
      <c r="B78" s="463"/>
      <c r="C78" s="464"/>
      <c r="D78" s="464"/>
      <c r="E78" t="s" s="465"/>
      <c r="F78" s="473"/>
      <c r="G78" s="466"/>
      <c r="H78" s="466"/>
      <c r="I78" s="466"/>
      <c r="J78" s="467"/>
      <c r="K78" s="299"/>
      <c r="L78" s="443"/>
      <c r="M78" s="443"/>
      <c r="N78" s="444"/>
      <c r="O78" s="444"/>
      <c r="P78" s="127"/>
      <c r="Q78" s="468"/>
      <c r="R78" s="468"/>
      <c r="S78" s="127"/>
      <c r="T78" s="123"/>
      <c r="U78" s="123"/>
      <c r="V78" s="123"/>
      <c r="W78" s="123"/>
      <c r="X78" s="123"/>
      <c r="Y78" s="123"/>
      <c r="Z78" s="123"/>
      <c r="AA78" s="123"/>
      <c r="AB78" s="123"/>
      <c r="AC78" s="124"/>
    </row>
    <row r="79" ht="18.75" customHeight="1">
      <c r="A79" s="293"/>
      <c r="B79" s="463"/>
      <c r="C79" s="464"/>
      <c r="D79" s="464"/>
      <c r="E79" t="s" s="465"/>
      <c r="F79" s="473"/>
      <c r="G79" s="466"/>
      <c r="H79" s="466"/>
      <c r="I79" s="466"/>
      <c r="J79" s="467"/>
      <c r="K79" s="299"/>
      <c r="L79" s="443"/>
      <c r="M79" s="443"/>
      <c r="N79" s="444"/>
      <c r="O79" s="444"/>
      <c r="P79" s="127"/>
      <c r="Q79" s="468"/>
      <c r="R79" s="468"/>
      <c r="S79" s="127"/>
      <c r="T79" s="123"/>
      <c r="U79" s="123"/>
      <c r="V79" s="123"/>
      <c r="W79" s="123"/>
      <c r="X79" s="123"/>
      <c r="Y79" s="123"/>
      <c r="Z79" s="123"/>
      <c r="AA79" s="123"/>
      <c r="AB79" s="123"/>
      <c r="AC79" s="124"/>
    </row>
    <row r="80" ht="18.75" customHeight="1">
      <c r="A80" s="293"/>
      <c r="B80" s="463"/>
      <c r="C80" s="464"/>
      <c r="D80" s="464"/>
      <c r="E80" s="471"/>
      <c r="F80" s="306"/>
      <c r="G80" s="466"/>
      <c r="H80" s="466"/>
      <c r="I80" s="466"/>
      <c r="J80" s="467"/>
      <c r="K80" s="299"/>
      <c r="L80" s="443"/>
      <c r="M80" s="443"/>
      <c r="N80" s="444"/>
      <c r="O80" s="444"/>
      <c r="P80" s="127"/>
      <c r="Q80" s="468"/>
      <c r="R80" s="468"/>
      <c r="S80" s="127"/>
      <c r="T80" s="123"/>
      <c r="U80" s="123"/>
      <c r="V80" s="123"/>
      <c r="W80" s="123"/>
      <c r="X80" s="123"/>
      <c r="Y80" s="123"/>
      <c r="Z80" s="123"/>
      <c r="AA80" s="123"/>
      <c r="AB80" s="123"/>
      <c r="AC80" s="124"/>
    </row>
    <row r="81" ht="18.75" customHeight="1">
      <c r="A81" s="293"/>
      <c r="B81" s="463">
        <f>IF(VLOOKUP(G$16*10+5,'System Activities'!B$2:C$340,2)="","",G$17+VLOOKUP(G$16*10+5,'System Activities'!B$2:C$340,2))</f>
        <v>43472</v>
      </c>
      <c r="C81" t="s" s="469">
        <v>215</v>
      </c>
      <c r="D81" s="470">
        <f>IF(C81="","",5)</f>
        <v>5</v>
      </c>
      <c r="E81" t="s" s="465">
        <v>218</v>
      </c>
      <c r="F81" s="306"/>
      <c r="G81" s="466"/>
      <c r="H81" s="466"/>
      <c r="I81" s="466"/>
      <c r="J81" s="467"/>
      <c r="K81" s="299"/>
      <c r="L81" s="443"/>
      <c r="M81" s="443"/>
      <c r="N81" s="444"/>
      <c r="O81" s="444"/>
      <c r="P81" s="127"/>
      <c r="Q81" s="468"/>
      <c r="R81" s="468"/>
      <c r="S81" s="127"/>
      <c r="T81" s="123"/>
      <c r="U81" s="123"/>
      <c r="V81" s="123"/>
      <c r="W81" s="123"/>
      <c r="X81" s="123"/>
      <c r="Y81" s="123"/>
      <c r="Z81" s="123"/>
      <c r="AA81" s="123"/>
      <c r="AB81" s="123"/>
      <c r="AC81" s="124"/>
    </row>
    <row r="82" ht="18.75" customHeight="1">
      <c r="A82" s="293"/>
      <c r="B82" s="463"/>
      <c r="C82" s="464"/>
      <c r="D82" s="464"/>
      <c r="E82" t="s" s="465"/>
      <c r="F82" s="306"/>
      <c r="G82" s="466"/>
      <c r="H82" s="466"/>
      <c r="I82" s="466"/>
      <c r="J82" s="467"/>
      <c r="K82" s="299"/>
      <c r="L82" s="443"/>
      <c r="M82" s="443"/>
      <c r="N82" s="444"/>
      <c r="O82" s="444"/>
      <c r="P82" s="127"/>
      <c r="Q82" s="468"/>
      <c r="R82" s="468"/>
      <c r="S82" s="127"/>
      <c r="T82" s="123"/>
      <c r="U82" s="123"/>
      <c r="V82" s="123"/>
      <c r="W82" s="123"/>
      <c r="X82" s="123"/>
      <c r="Y82" s="123"/>
      <c r="Z82" s="123"/>
      <c r="AA82" s="123"/>
      <c r="AB82" s="123"/>
      <c r="AC82" s="124"/>
    </row>
    <row r="83" ht="18.75" customHeight="1">
      <c r="A83" s="293"/>
      <c r="B83" s="463"/>
      <c r="C83" s="464"/>
      <c r="D83" s="464"/>
      <c r="E83" t="s" s="465"/>
      <c r="F83" s="474"/>
      <c r="G83" s="466"/>
      <c r="H83" s="466"/>
      <c r="I83" s="466"/>
      <c r="J83" s="467"/>
      <c r="K83" s="299"/>
      <c r="L83" s="443"/>
      <c r="M83" s="443"/>
      <c r="N83" s="444"/>
      <c r="O83" s="444"/>
      <c r="P83" s="127"/>
      <c r="Q83" s="468"/>
      <c r="R83" s="468"/>
      <c r="S83" s="127"/>
      <c r="T83" s="123"/>
      <c r="U83" s="123"/>
      <c r="V83" s="123"/>
      <c r="W83" s="123"/>
      <c r="X83" s="123"/>
      <c r="Y83" s="123"/>
      <c r="Z83" s="123"/>
      <c r="AA83" s="123"/>
      <c r="AB83" s="123"/>
      <c r="AC83" s="124"/>
    </row>
    <row r="84" ht="18.75" customHeight="1">
      <c r="A84" s="293"/>
      <c r="B84" s="463"/>
      <c r="C84" s="464"/>
      <c r="D84" s="464"/>
      <c r="E84" t="s" s="465"/>
      <c r="F84" s="474"/>
      <c r="G84" s="466"/>
      <c r="H84" s="466"/>
      <c r="I84" s="466"/>
      <c r="J84" s="467"/>
      <c r="K84" s="299"/>
      <c r="L84" s="443"/>
      <c r="M84" s="443"/>
      <c r="N84" s="444"/>
      <c r="O84" s="444"/>
      <c r="P84" s="127"/>
      <c r="Q84" s="468"/>
      <c r="R84" s="468"/>
      <c r="S84" s="127"/>
      <c r="T84" s="123"/>
      <c r="U84" s="123"/>
      <c r="V84" s="123"/>
      <c r="W84" s="123"/>
      <c r="X84" s="123"/>
      <c r="Y84" s="123"/>
      <c r="Z84" s="123"/>
      <c r="AA84" s="123"/>
      <c r="AB84" s="123"/>
      <c r="AC84" s="124"/>
    </row>
    <row r="85" ht="18.75" customHeight="1">
      <c r="A85" s="293"/>
      <c r="B85" s="463"/>
      <c r="C85" s="464"/>
      <c r="D85" s="464"/>
      <c r="E85" s="471"/>
      <c r="F85" s="306"/>
      <c r="G85" s="466"/>
      <c r="H85" s="466"/>
      <c r="I85" s="466"/>
      <c r="J85" s="467"/>
      <c r="K85" s="299"/>
      <c r="L85" s="443"/>
      <c r="M85" s="443"/>
      <c r="N85" s="444"/>
      <c r="O85" s="444"/>
      <c r="P85" s="127"/>
      <c r="Q85" s="468"/>
      <c r="R85" s="468"/>
      <c r="S85" s="127"/>
      <c r="T85" s="123"/>
      <c r="U85" s="123"/>
      <c r="V85" s="123"/>
      <c r="W85" s="123"/>
      <c r="X85" s="123"/>
      <c r="Y85" s="123"/>
      <c r="Z85" s="123"/>
      <c r="AA85" s="123"/>
      <c r="AB85" s="123"/>
      <c r="AC85" s="124"/>
    </row>
    <row r="86" ht="18.75" customHeight="1">
      <c r="A86" s="293"/>
      <c r="B86" t="s" s="475">
        <f>IF(VLOOKUP(G$16*10+6,'System Activities'!B$2:C$340,2)="","",G$17+VLOOKUP(G$16*10+6,'System Activities'!B$2:C$340,2))</f>
      </c>
      <c r="C86" s="464"/>
      <c r="D86" t="s" s="469">
        <f>IF(C86="","",6)</f>
      </c>
      <c r="E86" t="s" s="465"/>
      <c r="F86" s="306"/>
      <c r="G86" s="466"/>
      <c r="H86" s="466"/>
      <c r="I86" s="466"/>
      <c r="J86" s="467"/>
      <c r="K86" s="299"/>
      <c r="L86" s="443"/>
      <c r="M86" s="443"/>
      <c r="N86" s="444"/>
      <c r="O86" s="444"/>
      <c r="P86" s="127"/>
      <c r="Q86" s="468"/>
      <c r="R86" s="468"/>
      <c r="S86" s="127"/>
      <c r="T86" s="123"/>
      <c r="U86" s="123"/>
      <c r="V86" s="123"/>
      <c r="W86" s="123"/>
      <c r="X86" s="123"/>
      <c r="Y86" s="123"/>
      <c r="Z86" s="123"/>
      <c r="AA86" s="123"/>
      <c r="AB86" s="123"/>
      <c r="AC86" s="124"/>
    </row>
    <row r="87" ht="18.75" customHeight="1">
      <c r="A87" s="293"/>
      <c r="B87" s="463"/>
      <c r="C87" s="464"/>
      <c r="D87" s="464"/>
      <c r="E87" t="s" s="465"/>
      <c r="F87" s="306"/>
      <c r="G87" s="466"/>
      <c r="H87" s="466"/>
      <c r="I87" s="466"/>
      <c r="J87" s="467"/>
      <c r="K87" s="299"/>
      <c r="L87" s="443"/>
      <c r="M87" s="443"/>
      <c r="N87" s="444"/>
      <c r="O87" s="444"/>
      <c r="P87" s="127"/>
      <c r="Q87" s="468"/>
      <c r="R87" s="468"/>
      <c r="S87" s="127"/>
      <c r="T87" s="123"/>
      <c r="U87" s="123"/>
      <c r="V87" s="123"/>
      <c r="W87" s="123"/>
      <c r="X87" s="123"/>
      <c r="Y87" s="123"/>
      <c r="Z87" s="123"/>
      <c r="AA87" s="123"/>
      <c r="AB87" s="123"/>
      <c r="AC87" s="124"/>
    </row>
    <row r="88" ht="18.75" customHeight="1">
      <c r="A88" s="293"/>
      <c r="B88" s="463"/>
      <c r="C88" s="464"/>
      <c r="D88" s="464"/>
      <c r="E88" t="s" s="465"/>
      <c r="F88" s="306"/>
      <c r="G88" s="466"/>
      <c r="H88" s="466"/>
      <c r="I88" s="466"/>
      <c r="J88" s="467"/>
      <c r="K88" s="299"/>
      <c r="L88" s="443"/>
      <c r="M88" s="443"/>
      <c r="N88" s="444"/>
      <c r="O88" s="444"/>
      <c r="P88" s="127"/>
      <c r="Q88" s="468"/>
      <c r="R88" s="468"/>
      <c r="S88" s="127"/>
      <c r="T88" s="123"/>
      <c r="U88" s="123"/>
      <c r="V88" s="123"/>
      <c r="W88" s="123"/>
      <c r="X88" s="123"/>
      <c r="Y88" s="123"/>
      <c r="Z88" s="123"/>
      <c r="AA88" s="123"/>
      <c r="AB88" s="123"/>
      <c r="AC88" s="124"/>
    </row>
    <row r="89" ht="18.75" customHeight="1">
      <c r="A89" s="293"/>
      <c r="B89" s="463"/>
      <c r="C89" s="464"/>
      <c r="D89" s="464"/>
      <c r="E89" t="s" s="465"/>
      <c r="F89" s="306"/>
      <c r="G89" s="466"/>
      <c r="H89" s="466"/>
      <c r="I89" s="466"/>
      <c r="J89" s="467"/>
      <c r="K89" s="299"/>
      <c r="L89" s="443"/>
      <c r="M89" s="443"/>
      <c r="N89" s="444"/>
      <c r="O89" s="444"/>
      <c r="P89" s="127"/>
      <c r="Q89" s="468"/>
      <c r="R89" s="468"/>
      <c r="S89" s="127"/>
      <c r="T89" s="123"/>
      <c r="U89" s="123"/>
      <c r="V89" s="123"/>
      <c r="W89" s="123"/>
      <c r="X89" s="123"/>
      <c r="Y89" s="123"/>
      <c r="Z89" s="123"/>
      <c r="AA89" s="123"/>
      <c r="AB89" s="123"/>
      <c r="AC89" s="124"/>
    </row>
    <row r="90" ht="18.75" customHeight="1">
      <c r="A90" s="293"/>
      <c r="B90" t="s" s="475">
        <f>IF(VLOOKUP(G$16*10+7,'System Activities'!B$2:C$340,2)="","",G$17+VLOOKUP(G$16*10+7,'System Activities'!B$2:C$340,2))</f>
      </c>
      <c r="C90" s="464"/>
      <c r="D90" t="s" s="469">
        <f>IF(C90="","",7)</f>
      </c>
      <c r="E90" t="s" s="465"/>
      <c r="F90" s="306"/>
      <c r="G90" s="466"/>
      <c r="H90" s="466"/>
      <c r="I90" s="466"/>
      <c r="J90" s="467"/>
      <c r="K90" s="299"/>
      <c r="L90" s="443"/>
      <c r="M90" s="443"/>
      <c r="N90" s="444"/>
      <c r="O90" s="444"/>
      <c r="P90" s="127"/>
      <c r="Q90" s="468"/>
      <c r="R90" s="468"/>
      <c r="S90" s="127"/>
      <c r="T90" s="123"/>
      <c r="U90" s="123"/>
      <c r="V90" s="123"/>
      <c r="W90" s="123"/>
      <c r="X90" s="123"/>
      <c r="Y90" s="123"/>
      <c r="Z90" s="123"/>
      <c r="AA90" s="123"/>
      <c r="AB90" s="123"/>
      <c r="AC90" s="124"/>
    </row>
    <row r="91" ht="18.75" customHeight="1">
      <c r="A91" s="293"/>
      <c r="B91" s="463"/>
      <c r="C91" s="464"/>
      <c r="D91" s="464"/>
      <c r="E91" t="s" s="465"/>
      <c r="F91" s="306"/>
      <c r="G91" s="466"/>
      <c r="H91" s="466"/>
      <c r="I91" s="466"/>
      <c r="J91" s="467"/>
      <c r="K91" s="299"/>
      <c r="L91" s="443"/>
      <c r="M91" s="443"/>
      <c r="N91" s="444"/>
      <c r="O91" s="444"/>
      <c r="P91" s="127"/>
      <c r="Q91" s="468"/>
      <c r="R91" s="468"/>
      <c r="S91" s="127"/>
      <c r="T91" s="123"/>
      <c r="U91" s="123"/>
      <c r="V91" s="123"/>
      <c r="W91" s="123"/>
      <c r="X91" s="123"/>
      <c r="Y91" s="123"/>
      <c r="Z91" s="123"/>
      <c r="AA91" s="123"/>
      <c r="AB91" s="123"/>
      <c r="AC91" s="124"/>
    </row>
    <row r="92" ht="18.75" customHeight="1">
      <c r="A92" s="293"/>
      <c r="B92" s="463"/>
      <c r="C92" s="464"/>
      <c r="D92" s="464"/>
      <c r="E92" t="s" s="465"/>
      <c r="F92" s="473"/>
      <c r="G92" s="466"/>
      <c r="H92" s="466"/>
      <c r="I92" s="466"/>
      <c r="J92" s="467"/>
      <c r="K92" s="299"/>
      <c r="L92" s="443"/>
      <c r="M92" s="443"/>
      <c r="N92" s="444"/>
      <c r="O92" s="444"/>
      <c r="P92" s="127"/>
      <c r="Q92" s="468"/>
      <c r="R92" s="468"/>
      <c r="S92" s="127"/>
      <c r="T92" s="123"/>
      <c r="U92" s="123"/>
      <c r="V92" s="123"/>
      <c r="W92" s="123"/>
      <c r="X92" s="123"/>
      <c r="Y92" s="123"/>
      <c r="Z92" s="123"/>
      <c r="AA92" s="123"/>
      <c r="AB92" s="123"/>
      <c r="AC92" s="124"/>
    </row>
    <row r="93" ht="18.75" customHeight="1">
      <c r="A93" s="293"/>
      <c r="B93" s="463"/>
      <c r="C93" s="464"/>
      <c r="D93" s="464"/>
      <c r="E93" t="s" s="465"/>
      <c r="F93" s="473"/>
      <c r="G93" s="466"/>
      <c r="H93" s="466"/>
      <c r="I93" s="466"/>
      <c r="J93" s="467"/>
      <c r="K93" s="299"/>
      <c r="L93" s="443"/>
      <c r="M93" s="443"/>
      <c r="N93" s="444"/>
      <c r="O93" s="444"/>
      <c r="P93" s="127"/>
      <c r="Q93" s="468"/>
      <c r="R93" s="468"/>
      <c r="S93" s="127"/>
      <c r="T93" s="123"/>
      <c r="U93" s="123"/>
      <c r="V93" s="123"/>
      <c r="W93" s="123"/>
      <c r="X93" s="123"/>
      <c r="Y93" s="123"/>
      <c r="Z93" s="123"/>
      <c r="AA93" s="123"/>
      <c r="AB93" s="123"/>
      <c r="AC93" s="124"/>
    </row>
    <row r="94" ht="18.75" customHeight="1">
      <c r="A94" s="293"/>
      <c r="B94" s="463"/>
      <c r="C94" s="464"/>
      <c r="D94" s="464"/>
      <c r="E94" s="471"/>
      <c r="F94" s="306"/>
      <c r="G94" s="466"/>
      <c r="H94" s="466"/>
      <c r="I94" s="466"/>
      <c r="J94" s="467"/>
      <c r="K94" s="299"/>
      <c r="L94" s="443"/>
      <c r="M94" s="443"/>
      <c r="N94" s="444"/>
      <c r="O94" s="444"/>
      <c r="P94" s="127"/>
      <c r="Q94" s="468"/>
      <c r="R94" s="468"/>
      <c r="S94" s="127"/>
      <c r="T94" s="123"/>
      <c r="U94" s="123"/>
      <c r="V94" s="123"/>
      <c r="W94" s="123"/>
      <c r="X94" s="123"/>
      <c r="Y94" s="123"/>
      <c r="Z94" s="123"/>
      <c r="AA94" s="123"/>
      <c r="AB94" s="123"/>
      <c r="AC94" s="124"/>
    </row>
    <row r="95" ht="18.75" customHeight="1">
      <c r="A95" s="293"/>
      <c r="B95" t="s" s="475">
        <f>IF(VLOOKUP(G$16*10+8,'System Activities'!B$2:C$340,2)="","",G$17+VLOOKUP(G$16*10+8,'System Activities'!B$2:C$340,2))</f>
      </c>
      <c r="C95" s="464"/>
      <c r="D95" t="s" s="469">
        <f>IF(C95="","",8)</f>
      </c>
      <c r="E95" t="s" s="465"/>
      <c r="F95" s="306"/>
      <c r="G95" s="466"/>
      <c r="H95" s="466"/>
      <c r="I95" s="466"/>
      <c r="J95" s="467"/>
      <c r="K95" s="299"/>
      <c r="L95" s="443"/>
      <c r="M95" s="443"/>
      <c r="N95" s="444"/>
      <c r="O95" s="444"/>
      <c r="P95" s="127"/>
      <c r="Q95" s="468"/>
      <c r="R95" s="468"/>
      <c r="S95" s="127"/>
      <c r="T95" s="123"/>
      <c r="U95" s="123"/>
      <c r="V95" s="123"/>
      <c r="W95" s="123"/>
      <c r="X95" s="123"/>
      <c r="Y95" s="123"/>
      <c r="Z95" s="123"/>
      <c r="AA95" s="123"/>
      <c r="AB95" s="123"/>
      <c r="AC95" s="124"/>
    </row>
    <row r="96" ht="18.75" customHeight="1">
      <c r="A96" s="293"/>
      <c r="B96" s="476"/>
      <c r="C96" s="466"/>
      <c r="D96" s="466"/>
      <c r="E96" t="s" s="465"/>
      <c r="F96" s="306"/>
      <c r="G96" s="466"/>
      <c r="H96" s="466"/>
      <c r="I96" s="466"/>
      <c r="J96" s="467"/>
      <c r="K96" s="299"/>
      <c r="L96" s="443"/>
      <c r="M96" s="443"/>
      <c r="N96" s="444"/>
      <c r="O96" s="444"/>
      <c r="P96" s="127"/>
      <c r="Q96" s="468"/>
      <c r="R96" s="468"/>
      <c r="S96" s="127"/>
      <c r="T96" s="123"/>
      <c r="U96" s="123"/>
      <c r="V96" s="123"/>
      <c r="W96" s="123"/>
      <c r="X96" s="123"/>
      <c r="Y96" s="123"/>
      <c r="Z96" s="123"/>
      <c r="AA96" s="123"/>
      <c r="AB96" s="123"/>
      <c r="AC96" s="124"/>
    </row>
    <row r="97" ht="18.75" customHeight="1">
      <c r="A97" s="293"/>
      <c r="B97" s="477"/>
      <c r="C97" s="466"/>
      <c r="D97" s="464"/>
      <c r="E97" t="s" s="465"/>
      <c r="F97" s="473"/>
      <c r="G97" s="466"/>
      <c r="H97" s="466"/>
      <c r="I97" s="466"/>
      <c r="J97" s="467"/>
      <c r="K97" s="299"/>
      <c r="L97" s="443"/>
      <c r="M97" s="443"/>
      <c r="N97" s="444"/>
      <c r="O97" s="444"/>
      <c r="P97" s="127"/>
      <c r="Q97" s="468"/>
      <c r="R97" s="468"/>
      <c r="S97" s="127"/>
      <c r="T97" s="123"/>
      <c r="U97" s="123"/>
      <c r="V97" s="123"/>
      <c r="W97" s="123"/>
      <c r="X97" s="123"/>
      <c r="Y97" s="123"/>
      <c r="Z97" s="123"/>
      <c r="AA97" s="123"/>
      <c r="AB97" s="123"/>
      <c r="AC97" s="124"/>
    </row>
    <row r="98" ht="18.75" customHeight="1">
      <c r="A98" s="293"/>
      <c r="B98" s="476"/>
      <c r="C98" s="466"/>
      <c r="D98" s="464"/>
      <c r="E98" t="s" s="465"/>
      <c r="F98" s="478"/>
      <c r="G98" s="466"/>
      <c r="H98" s="466"/>
      <c r="I98" s="466"/>
      <c r="J98" s="467"/>
      <c r="K98" s="299"/>
      <c r="L98" s="443"/>
      <c r="M98" s="443"/>
      <c r="N98" s="444"/>
      <c r="O98" s="444"/>
      <c r="P98" s="127"/>
      <c r="Q98" s="468"/>
      <c r="R98" s="468"/>
      <c r="S98" s="127"/>
      <c r="T98" s="123"/>
      <c r="U98" s="123"/>
      <c r="V98" s="123"/>
      <c r="W98" s="123"/>
      <c r="X98" s="123"/>
      <c r="Y98" s="123"/>
      <c r="Z98" s="123"/>
      <c r="AA98" s="123"/>
      <c r="AB98" s="123"/>
      <c r="AC98" s="124"/>
    </row>
    <row r="99" ht="18.75" customHeight="1">
      <c r="A99" s="293"/>
      <c r="B99" s="463"/>
      <c r="C99" s="464"/>
      <c r="D99" s="464"/>
      <c r="E99" s="471"/>
      <c r="F99" s="306"/>
      <c r="G99" s="466"/>
      <c r="H99" s="466"/>
      <c r="I99" s="466"/>
      <c r="J99" s="467"/>
      <c r="K99" s="299"/>
      <c r="L99" s="443"/>
      <c r="M99" s="443"/>
      <c r="N99" s="444"/>
      <c r="O99" s="444"/>
      <c r="P99" s="127"/>
      <c r="Q99" s="468"/>
      <c r="R99" s="468"/>
      <c r="S99" s="127"/>
      <c r="T99" s="123"/>
      <c r="U99" s="123"/>
      <c r="V99" s="123"/>
      <c r="W99" s="123"/>
      <c r="X99" s="123"/>
      <c r="Y99" s="123"/>
      <c r="Z99" s="123"/>
      <c r="AA99" s="123"/>
      <c r="AB99" s="123"/>
      <c r="AC99" s="124"/>
    </row>
    <row r="100" ht="18.75" customHeight="1">
      <c r="A100" s="293"/>
      <c r="B100" t="s" s="475">
        <f>IF(VLOOKUP(G$16*10+9,'System Activities'!B$2:C$340,2)="","",G$17+VLOOKUP(G$16*10+9,'System Activities'!B$2:C$340,2))</f>
      </c>
      <c r="C100" s="464"/>
      <c r="D100" t="s" s="469">
        <f>IF(C100="","",9)</f>
      </c>
      <c r="E100" t="s" s="465"/>
      <c r="F100" s="306"/>
      <c r="G100" s="466"/>
      <c r="H100" s="466"/>
      <c r="I100" s="466"/>
      <c r="J100" s="467"/>
      <c r="K100" s="299"/>
      <c r="L100" s="443"/>
      <c r="M100" s="443"/>
      <c r="N100" s="444"/>
      <c r="O100" s="444"/>
      <c r="P100" s="127"/>
      <c r="Q100" s="468"/>
      <c r="R100" s="468"/>
      <c r="S100" s="127"/>
      <c r="T100" s="123"/>
      <c r="U100" s="123"/>
      <c r="V100" s="123"/>
      <c r="W100" s="123"/>
      <c r="X100" s="123"/>
      <c r="Y100" s="123"/>
      <c r="Z100" s="123"/>
      <c r="AA100" s="123"/>
      <c r="AB100" s="123"/>
      <c r="AC100" s="124"/>
    </row>
    <row r="101" ht="18.75" customHeight="1">
      <c r="A101" s="293"/>
      <c r="B101" s="476"/>
      <c r="C101" s="466"/>
      <c r="D101" s="464"/>
      <c r="E101" t="s" s="465"/>
      <c r="F101" s="306"/>
      <c r="G101" s="472"/>
      <c r="H101" s="466"/>
      <c r="I101" s="466"/>
      <c r="J101" s="467"/>
      <c r="K101" s="299"/>
      <c r="L101" s="443"/>
      <c r="M101" s="443"/>
      <c r="N101" s="444"/>
      <c r="O101" s="444"/>
      <c r="P101" s="127"/>
      <c r="Q101" s="468"/>
      <c r="R101" s="468"/>
      <c r="S101" s="127"/>
      <c r="T101" s="123"/>
      <c r="U101" s="123"/>
      <c r="V101" s="123"/>
      <c r="W101" s="123"/>
      <c r="X101" s="123"/>
      <c r="Y101" s="123"/>
      <c r="Z101" s="123"/>
      <c r="AA101" s="123"/>
      <c r="AB101" s="123"/>
      <c r="AC101" s="124"/>
    </row>
    <row r="102" ht="18.75" customHeight="1">
      <c r="A102" s="293"/>
      <c r="B102" s="476"/>
      <c r="C102" s="466"/>
      <c r="D102" s="464"/>
      <c r="E102" t="s" s="465"/>
      <c r="F102" s="306"/>
      <c r="G102" s="472"/>
      <c r="H102" s="466"/>
      <c r="I102" s="466"/>
      <c r="J102" s="467"/>
      <c r="K102" s="299"/>
      <c r="L102" s="443"/>
      <c r="M102" s="443"/>
      <c r="N102" s="444"/>
      <c r="O102" s="444"/>
      <c r="P102" s="127"/>
      <c r="Q102" s="468"/>
      <c r="R102" s="468"/>
      <c r="S102" s="127"/>
      <c r="T102" s="123"/>
      <c r="U102" s="123"/>
      <c r="V102" s="123"/>
      <c r="W102" s="123"/>
      <c r="X102" s="123"/>
      <c r="Y102" s="123"/>
      <c r="Z102" s="123"/>
      <c r="AA102" s="123"/>
      <c r="AB102" s="123"/>
      <c r="AC102" s="124"/>
    </row>
    <row r="103" ht="18.75" customHeight="1">
      <c r="A103" s="293"/>
      <c r="B103" s="476"/>
      <c r="C103" s="466"/>
      <c r="D103" s="464"/>
      <c r="E103" t="s" s="465"/>
      <c r="F103" s="306"/>
      <c r="G103" s="472"/>
      <c r="H103" s="466"/>
      <c r="I103" s="466"/>
      <c r="J103" s="467"/>
      <c r="K103" s="299"/>
      <c r="L103" s="443"/>
      <c r="M103" s="443"/>
      <c r="N103" s="444"/>
      <c r="O103" s="444"/>
      <c r="P103" s="127"/>
      <c r="Q103" s="468"/>
      <c r="R103" s="468"/>
      <c r="S103" s="127"/>
      <c r="T103" s="123"/>
      <c r="U103" s="123"/>
      <c r="V103" s="123"/>
      <c r="W103" s="123"/>
      <c r="X103" s="123"/>
      <c r="Y103" s="123"/>
      <c r="Z103" s="123"/>
      <c r="AA103" s="123"/>
      <c r="AB103" s="123"/>
      <c r="AC103" s="124"/>
    </row>
    <row r="104" ht="18.75" customHeight="1">
      <c r="A104" s="293"/>
      <c r="B104" s="479"/>
      <c r="C104" s="480"/>
      <c r="D104" s="481"/>
      <c r="E104" s="482"/>
      <c r="F104" s="282"/>
      <c r="G104" s="483"/>
      <c r="H104" s="480"/>
      <c r="I104" s="480"/>
      <c r="J104" s="484"/>
      <c r="K104" s="299"/>
      <c r="L104" s="443"/>
      <c r="M104" s="443"/>
      <c r="N104" s="444"/>
      <c r="O104" s="444"/>
      <c r="P104" s="127"/>
      <c r="Q104" s="468"/>
      <c r="R104" s="468"/>
      <c r="S104" s="127"/>
      <c r="T104" s="123"/>
      <c r="U104" s="123"/>
      <c r="V104" s="123"/>
      <c r="W104" s="123"/>
      <c r="X104" s="123"/>
      <c r="Y104" s="123"/>
      <c r="Z104" s="123"/>
      <c r="AA104" s="123"/>
      <c r="AB104" s="123"/>
      <c r="AC104" s="124"/>
    </row>
    <row r="105" ht="18.75" customHeight="1">
      <c r="A105" s="260"/>
      <c r="B105" s="485"/>
      <c r="C105" s="485"/>
      <c r="D105" s="485"/>
      <c r="E105" s="485"/>
      <c r="F105" s="485"/>
      <c r="G105" s="485"/>
      <c r="H105" s="485"/>
      <c r="I105" s="485"/>
      <c r="J105" s="485"/>
      <c r="K105" s="486"/>
      <c r="L105" s="443"/>
      <c r="M105" s="443"/>
      <c r="N105" s="444"/>
      <c r="O105" s="444"/>
      <c r="P105" s="127"/>
      <c r="Q105" s="468"/>
      <c r="R105" s="468"/>
      <c r="S105" s="127"/>
      <c r="T105" s="123"/>
      <c r="U105" s="123"/>
      <c r="V105" s="123"/>
      <c r="W105" s="123"/>
      <c r="X105" s="123"/>
      <c r="Y105" s="123"/>
      <c r="Z105" s="123"/>
      <c r="AA105" s="123"/>
      <c r="AB105" s="123"/>
      <c r="AC105" s="124"/>
    </row>
    <row r="106" ht="30" customHeight="1">
      <c r="A106" s="293"/>
      <c r="B106" t="s" s="487">
        <v>219</v>
      </c>
      <c r="C106" s="488"/>
      <c r="D106" s="488"/>
      <c r="E106" t="s" s="489">
        <f>D51</f>
        <v>220</v>
      </c>
      <c r="F106" s="490"/>
      <c r="G106" t="s" s="491">
        <f>IF(K22="","",VLOOKUP($K$22,'System Inputs'!$A$2:$B$34,2))</f>
      </c>
      <c r="H106" s="492"/>
      <c r="I106" t="s" s="491">
        <f>IF(K23="","",VLOOKUP($K$23,'System Inputs'!$A$2:$B$34,2))</f>
      </c>
      <c r="J106" s="493"/>
      <c r="K106" s="427"/>
      <c r="L106" s="443"/>
      <c r="M106" s="443"/>
      <c r="N106" s="444"/>
      <c r="O106" s="444"/>
      <c r="P106" s="127"/>
      <c r="Q106" s="468"/>
      <c r="R106" s="468"/>
      <c r="S106" s="127"/>
      <c r="T106" s="123"/>
      <c r="U106" s="123"/>
      <c r="V106" s="123"/>
      <c r="W106" s="123"/>
      <c r="X106" s="123"/>
      <c r="Y106" s="123"/>
      <c r="Z106" s="123"/>
      <c r="AA106" s="123"/>
      <c r="AB106" s="123"/>
      <c r="AC106" s="124"/>
    </row>
    <row r="107" ht="18.75" customHeight="1">
      <c r="A107" s="293"/>
      <c r="B107" s="494"/>
      <c r="C107" s="495"/>
      <c r="D107" s="496"/>
      <c r="E107" s="495"/>
      <c r="F107" s="497"/>
      <c r="G107" s="498"/>
      <c r="H107" s="499"/>
      <c r="I107" s="500"/>
      <c r="J107" s="501"/>
      <c r="K107" s="299"/>
      <c r="L107" s="443"/>
      <c r="M107" s="443"/>
      <c r="N107" s="444"/>
      <c r="O107" s="444"/>
      <c r="P107" s="127"/>
      <c r="Q107" s="468"/>
      <c r="R107" s="468"/>
      <c r="S107" s="127"/>
      <c r="T107" s="123"/>
      <c r="U107" s="123"/>
      <c r="V107" s="123"/>
      <c r="W107" s="123"/>
      <c r="X107" s="123"/>
      <c r="Y107" s="123"/>
      <c r="Z107" s="123"/>
      <c r="AA107" s="123"/>
      <c r="AB107" s="123"/>
      <c r="AC107" s="124"/>
    </row>
    <row r="108" ht="18.75" customHeight="1">
      <c r="A108" s="293"/>
      <c r="B108" t="s" s="502">
        <v>221</v>
      </c>
      <c r="C108" s="503"/>
      <c r="D108" t="s" s="504">
        <v>222</v>
      </c>
      <c r="E108" t="s" s="504">
        <v>223</v>
      </c>
      <c r="F108" t="s" s="505">
        <v>224</v>
      </c>
      <c r="G108" s="506"/>
      <c r="H108" t="s" s="505">
        <f>IF(K22="","","Total Cost")</f>
      </c>
      <c r="I108" s="506"/>
      <c r="J108" t="s" s="507">
        <f>IF(K23="","","Total Cost")</f>
      </c>
      <c r="K108" s="299"/>
      <c r="L108" s="442"/>
      <c r="M108" s="443"/>
      <c r="N108" s="444"/>
      <c r="O108" s="444"/>
      <c r="P108" s="118"/>
      <c r="Q108" s="121"/>
      <c r="R108" s="121"/>
      <c r="S108" s="118"/>
      <c r="T108" s="123"/>
      <c r="U108" s="123"/>
      <c r="V108" s="123"/>
      <c r="W108" s="123"/>
      <c r="X108" s="123"/>
      <c r="Y108" s="123"/>
      <c r="Z108" s="123"/>
      <c r="AA108" s="123"/>
      <c r="AB108" s="123"/>
      <c r="AC108" s="124"/>
    </row>
    <row r="109" ht="18.75" customHeight="1">
      <c r="A109" s="293"/>
      <c r="B109" t="s" s="508">
        <f>L20&amp;" Cost"</f>
        <v>225</v>
      </c>
      <c r="C109" s="503"/>
      <c r="D109" s="509">
        <f>C$42*VLOOKUP(G$16,'System Inputs'!A$2:I$39,3)</f>
        <v>40</v>
      </c>
      <c r="E109" s="510">
        <f>J42</f>
        <v>2.8</v>
      </c>
      <c r="F109" s="511">
        <f>D109*E109</f>
        <v>112</v>
      </c>
      <c r="G109" s="506"/>
      <c r="H109" t="s" s="512">
        <f>IF(K22="","",P112*E109)</f>
      </c>
      <c r="I109" s="513"/>
      <c r="J109" t="s" s="514">
        <f>IF(K23="","",R112*E109)</f>
      </c>
      <c r="K109" s="299"/>
      <c r="L109" s="442"/>
      <c r="M109" s="443"/>
      <c r="N109" s="444"/>
      <c r="O109" s="444"/>
      <c r="P109" s="118"/>
      <c r="Q109" s="121"/>
      <c r="R109" s="121"/>
      <c r="S109" s="118"/>
      <c r="T109" s="123"/>
      <c r="U109" s="123"/>
      <c r="V109" s="123"/>
      <c r="W109" s="123"/>
      <c r="X109" s="123"/>
      <c r="Y109" s="123"/>
      <c r="Z109" s="123"/>
      <c r="AA109" s="123"/>
      <c r="AB109" s="123"/>
      <c r="AC109" s="124"/>
    </row>
    <row r="110" ht="18.75" customHeight="1">
      <c r="A110" s="293"/>
      <c r="B110" t="s" s="508">
        <f>IF(G16=9,L19&amp;" Cost*",L19&amp;" Cost")</f>
        <v>226</v>
      </c>
      <c r="C110" s="503"/>
      <c r="D110" s="509">
        <f>C$42*VLOOKUP(G$16,'System Inputs'!A$2:I$39,4)</f>
        <v>40</v>
      </c>
      <c r="E110" s="510">
        <f>J43</f>
        <v>2.9</v>
      </c>
      <c r="F110" s="511">
        <f>D110*E110</f>
        <v>116</v>
      </c>
      <c r="G110" s="506"/>
      <c r="H110" t="s" s="512">
        <f>IF(K22="","",P113*E110)</f>
      </c>
      <c r="I110" s="513"/>
      <c r="J110" t="s" s="514">
        <f>IF(K23="","",R113*E110)</f>
      </c>
      <c r="K110" s="299"/>
      <c r="L110" s="442"/>
      <c r="M110" s="443"/>
      <c r="N110" s="444"/>
      <c r="O110" s="444"/>
      <c r="P110" s="118"/>
      <c r="Q110" s="121"/>
      <c r="R110" s="121"/>
      <c r="S110" s="118"/>
      <c r="T110" s="123"/>
      <c r="U110" s="123"/>
      <c r="V110" s="123"/>
      <c r="W110" s="123"/>
      <c r="X110" s="123"/>
      <c r="Y110" s="123"/>
      <c r="Z110" s="123"/>
      <c r="AA110" s="123"/>
      <c r="AB110" s="123"/>
      <c r="AC110" s="124"/>
    </row>
    <row r="111" ht="18.75" customHeight="1">
      <c r="A111" s="293"/>
      <c r="B111" t="s" s="508">
        <v>227</v>
      </c>
      <c r="C111" s="503"/>
      <c r="D111" s="509">
        <f>C$42*VLOOKUP(G$16,'System Inputs'!A$2:I$39,6)*F44</f>
        <v>0</v>
      </c>
      <c r="E111" s="515">
        <f>G44</f>
        <v>0.2</v>
      </c>
      <c r="F111" s="511">
        <f>D111*E111</f>
        <v>0</v>
      </c>
      <c r="G111" s="506"/>
      <c r="H111" t="s" s="512">
        <f>IF(K22="","",P114*E111)</f>
      </c>
      <c r="I111" s="513"/>
      <c r="J111" t="s" s="514">
        <f>IF(K23="","",R114*E111)</f>
      </c>
      <c r="K111" s="299"/>
      <c r="L111" s="443"/>
      <c r="M111" s="443"/>
      <c r="N111" s="444"/>
      <c r="O111" s="444"/>
      <c r="P111" s="127"/>
      <c r="Q111" s="468"/>
      <c r="R111" s="468"/>
      <c r="S111" s="127"/>
      <c r="T111" s="123"/>
      <c r="U111" s="123"/>
      <c r="V111" s="123"/>
      <c r="W111" s="123"/>
      <c r="X111" s="123"/>
      <c r="Y111" s="123"/>
      <c r="Z111" s="123"/>
      <c r="AA111" s="123"/>
      <c r="AB111" s="123"/>
      <c r="AC111" s="124"/>
    </row>
    <row r="112" ht="18.75" customHeight="1">
      <c r="A112" s="293"/>
      <c r="B112" t="s" s="516">
        <v>228</v>
      </c>
      <c r="C112" s="517"/>
      <c r="D112" s="518">
        <f>C$42*VLOOKUP(G$16,'System Inputs'!A$2:I$39,5)</f>
        <v>20</v>
      </c>
      <c r="E112" s="519">
        <f>J44</f>
        <v>11</v>
      </c>
      <c r="F112" s="520">
        <f>D112*E112</f>
        <v>220</v>
      </c>
      <c r="G112" s="521"/>
      <c r="H112" t="s" s="522">
        <f>IF(K22="","",P115*E112)</f>
      </c>
      <c r="I112" s="523"/>
      <c r="J112" t="s" s="524">
        <f>IF(K23="","",R115*E112)</f>
      </c>
      <c r="K112" s="299"/>
      <c r="L112" s="443"/>
      <c r="M112" s="443"/>
      <c r="N112" s="444"/>
      <c r="O112" s="444"/>
      <c r="P112" s="127">
        <f>C$42*VLOOKUP(K$22,'System Inputs'!A$2:I$39,3)</f>
      </c>
      <c r="Q112" s="468"/>
      <c r="R112" s="468">
        <f>C$42*VLOOKUP(K$23,'System Inputs'!A$2:I$39,3)</f>
      </c>
      <c r="S112" s="127"/>
      <c r="T112" s="123"/>
      <c r="U112" s="123"/>
      <c r="V112" s="123"/>
      <c r="W112" s="123"/>
      <c r="X112" s="123"/>
      <c r="Y112" s="123"/>
      <c r="Z112" s="123"/>
      <c r="AA112" s="123"/>
      <c r="AB112" s="123"/>
      <c r="AC112" s="124"/>
    </row>
    <row r="113" ht="18.75" customHeight="1">
      <c r="A113" s="293"/>
      <c r="B113" t="s" s="525">
        <v>229</v>
      </c>
      <c r="C113" s="526"/>
      <c r="D113" s="526"/>
      <c r="E113" s="526"/>
      <c r="F113" s="527">
        <f>SUM(F109:F112)</f>
        <v>448</v>
      </c>
      <c r="G113" s="528"/>
      <c r="H113" t="s" s="529">
        <f>IF(K22="","",SUM(H109:H112))</f>
      </c>
      <c r="I113" s="528"/>
      <c r="J113" t="s" s="530">
        <f>IF(K23="","",SUM(J109:J112))</f>
      </c>
      <c r="K113" s="299"/>
      <c r="L113" s="443"/>
      <c r="M113" s="443"/>
      <c r="N113" s="444"/>
      <c r="O113" s="444"/>
      <c r="P113" s="127">
        <f>C$42*VLOOKUP(K$22,'System Inputs'!A$2:I$39,4)</f>
      </c>
      <c r="Q113" s="468"/>
      <c r="R113" s="468">
        <f>C$42*VLOOKUP(K$23,'System Inputs'!A$2:I$39,4)</f>
      </c>
      <c r="S113" s="127"/>
      <c r="T113" s="123"/>
      <c r="U113" s="123"/>
      <c r="V113" s="123"/>
      <c r="W113" s="123"/>
      <c r="X113" s="123"/>
      <c r="Y113" s="123"/>
      <c r="Z113" s="123"/>
      <c r="AA113" s="123"/>
      <c r="AB113" s="123"/>
      <c r="AC113" s="124"/>
    </row>
    <row r="114" ht="18.75" customHeight="1">
      <c r="A114" s="293"/>
      <c r="B114" s="531"/>
      <c r="C114" s="532"/>
      <c r="D114" s="533"/>
      <c r="E114" s="533"/>
      <c r="F114" s="534"/>
      <c r="G114" s="506"/>
      <c r="H114" s="278"/>
      <c r="I114" s="506"/>
      <c r="J114" s="308"/>
      <c r="K114" s="299"/>
      <c r="L114" s="443"/>
      <c r="M114" s="443"/>
      <c r="N114" s="444"/>
      <c r="O114" s="444"/>
      <c r="P114" s="127">
        <f>C$42*VLOOKUP(K$22,'System Inputs'!A$2:I$39,6)*F44</f>
      </c>
      <c r="Q114" s="468"/>
      <c r="R114" s="468">
        <f>C$42*VLOOKUP(K$23,'System Inputs'!A$2:I$39,6)*F44</f>
      </c>
      <c r="S114" s="127"/>
      <c r="T114" s="123"/>
      <c r="U114" s="123"/>
      <c r="V114" s="123"/>
      <c r="W114" s="123"/>
      <c r="X114" s="123"/>
      <c r="Y114" s="123"/>
      <c r="Z114" s="123"/>
      <c r="AA114" s="123"/>
      <c r="AB114" s="123"/>
      <c r="AC114" s="124"/>
    </row>
    <row r="115" ht="18.75" customHeight="1">
      <c r="A115" s="293"/>
      <c r="B115" t="s" s="535">
        <v>230</v>
      </c>
      <c r="C115" s="503"/>
      <c r="D115" s="536">
        <f>C43</f>
        <v>22.62900793229787</v>
      </c>
      <c r="E115" s="510">
        <f>C44</f>
        <v>13.5</v>
      </c>
      <c r="F115" s="511">
        <f>D115*E115</f>
        <v>305.4916070860212</v>
      </c>
      <c r="G115" s="537">
        <f>2.53*(VLOOKUP(K22,'System Inputs'!A2:R35,18)*C42)^0.5</f>
      </c>
      <c r="H115" t="s" s="512">
        <f>IF(K22="","",E115*G115)</f>
      </c>
      <c r="I115" s="538">
        <f>2.53*(VLOOKUP(K23,'System Inputs'!A2:R35,18)*C42)^0.5</f>
      </c>
      <c r="J115" t="s" s="514">
        <f>IF(K23="","",E115*I115)</f>
      </c>
      <c r="K115" s="299"/>
      <c r="L115" s="443"/>
      <c r="M115" s="443"/>
      <c r="N115" s="444"/>
      <c r="O115" s="444"/>
      <c r="P115" s="127">
        <f>C$42*VLOOKUP(K$22,'System Inputs'!A$2:I$39,5)</f>
      </c>
      <c r="Q115" s="468"/>
      <c r="R115" s="468">
        <f>C$42*VLOOKUP(K$23,'System Inputs'!A$2:I$39,5)</f>
      </c>
      <c r="S115" s="127"/>
      <c r="T115" s="123"/>
      <c r="U115" s="123"/>
      <c r="V115" s="123"/>
      <c r="W115" s="123"/>
      <c r="X115" s="123"/>
      <c r="Y115" s="123"/>
      <c r="Z115" s="123"/>
      <c r="AA115" s="123"/>
      <c r="AB115" s="123"/>
      <c r="AC115" s="124"/>
    </row>
    <row r="116" ht="18.75" customHeight="1">
      <c r="A116" s="293"/>
      <c r="B116" t="s" s="508">
        <v>231</v>
      </c>
      <c r="C116" s="503"/>
      <c r="D116" s="539">
        <f>C42</f>
        <v>20</v>
      </c>
      <c r="E116" s="510">
        <f>J45</f>
        <v>25</v>
      </c>
      <c r="F116" s="511">
        <f>D116*E116</f>
        <v>500</v>
      </c>
      <c r="G116" s="506"/>
      <c r="H116" t="s" s="512">
        <f>IF(K22="","",P119*E116)</f>
      </c>
      <c r="I116" s="513"/>
      <c r="J116" t="s" s="514">
        <f>IF(K23="","",R119*E116)</f>
      </c>
      <c r="K116" s="299"/>
      <c r="L116" s="443"/>
      <c r="M116" s="443"/>
      <c r="N116" s="444"/>
      <c r="O116" s="444"/>
      <c r="P116" s="127"/>
      <c r="Q116" s="468"/>
      <c r="R116" s="468"/>
      <c r="S116" s="127"/>
      <c r="T116" s="123"/>
      <c r="U116" s="123"/>
      <c r="V116" s="123"/>
      <c r="W116" s="123"/>
      <c r="X116" s="123"/>
      <c r="Y116" s="123"/>
      <c r="Z116" s="123"/>
      <c r="AA116" s="123"/>
      <c r="AB116" s="123"/>
      <c r="AC116" s="124"/>
    </row>
    <row r="117" ht="18.75" customHeight="1">
      <c r="A117" s="293"/>
      <c r="B117" t="s" s="508">
        <f>IF(F47="","",F47)</f>
        <v>232</v>
      </c>
      <c r="C117" s="503"/>
      <c r="D117" s="539">
        <f>IF(F47="","",H47)</f>
        <v>25</v>
      </c>
      <c r="E117" s="510">
        <f>IF(F47="","",J47)</f>
        <v>5</v>
      </c>
      <c r="F117" s="511">
        <f>IF(F47="",0,D117*E117)</f>
        <v>125</v>
      </c>
      <c r="G117" s="506"/>
      <c r="H117" t="s" s="512">
        <f>IF(K22="","",IF(F47="",0,P120*E117))</f>
      </c>
      <c r="I117" s="513"/>
      <c r="J117" t="s" s="514">
        <f>IF(K23="","",IF(F47="",0,R120*E117))</f>
      </c>
      <c r="K117" s="299"/>
      <c r="L117" s="443"/>
      <c r="M117" s="443"/>
      <c r="N117" s="444"/>
      <c r="O117" s="444"/>
      <c r="P117" s="127"/>
      <c r="Q117" s="468"/>
      <c r="R117" s="468"/>
      <c r="S117" s="127"/>
      <c r="T117" s="123"/>
      <c r="U117" s="123"/>
      <c r="V117" s="123"/>
      <c r="W117" s="123"/>
      <c r="X117" s="123"/>
      <c r="Y117" s="123"/>
      <c r="Z117" s="123"/>
      <c r="AA117" s="123"/>
      <c r="AB117" s="123"/>
      <c r="AC117" s="124"/>
    </row>
    <row r="118" ht="18.75" customHeight="1">
      <c r="A118" s="293"/>
      <c r="B118" t="s" s="508">
        <f>IF(F48="","",F48)</f>
        <v>233</v>
      </c>
      <c r="C118" s="503"/>
      <c r="D118" s="539">
        <f>IF(F48="","",H48)</f>
        <v>40</v>
      </c>
      <c r="E118" s="510">
        <f>IF(F48="","",J48)</f>
        <v>2</v>
      </c>
      <c r="F118" s="511">
        <f>IF(F48="",0,D118*E118)</f>
        <v>80</v>
      </c>
      <c r="G118" s="506"/>
      <c r="H118" t="s" s="512">
        <f>IF(K22="","",IF(F48="",0,P121*E118))</f>
      </c>
      <c r="I118" s="513"/>
      <c r="J118" t="s" s="514">
        <f>IF(K23="","",IF(F48="",0,R121*E118))</f>
      </c>
      <c r="K118" s="299"/>
      <c r="L118" s="443"/>
      <c r="M118" s="443"/>
      <c r="N118" s="444"/>
      <c r="O118" s="444"/>
      <c r="P118" s="127">
        <f>2.53*(VLOOKUP(K22,'System Inputs'!A2:R39,18)*C42)^0.5</f>
      </c>
      <c r="Q118" s="468"/>
      <c r="R118" s="468">
        <f>2.53*(VLOOKUP(K23,'System Inputs'!A2:R39,18)*C42)^0.5</f>
      </c>
      <c r="S118" s="127"/>
      <c r="T118" s="123"/>
      <c r="U118" s="123"/>
      <c r="V118" s="123"/>
      <c r="W118" s="123"/>
      <c r="X118" s="123"/>
      <c r="Y118" s="123"/>
      <c r="Z118" s="123"/>
      <c r="AA118" s="123"/>
      <c r="AB118" s="123"/>
      <c r="AC118" s="124"/>
    </row>
    <row r="119" ht="18.75" customHeight="1">
      <c r="A119" s="293"/>
      <c r="B119" t="s" s="508">
        <f>IF(F49="","",F49)</f>
      </c>
      <c r="C119" s="503"/>
      <c r="D119" t="s" s="540">
        <f>IF(F49="","",H49)</f>
      </c>
      <c r="E119" t="s" s="541">
        <f>IF(F49="","",J49)</f>
      </c>
      <c r="F119" s="511">
        <f>IF(F49="",0,D119*E119)</f>
        <v>0</v>
      </c>
      <c r="G119" s="506"/>
      <c r="H119" t="s" s="512">
        <f>IF(K22="","",IF(F49="",0,P122*E119))</f>
      </c>
      <c r="I119" s="513"/>
      <c r="J119" t="s" s="514">
        <f>IF(K23="","",IF(F49="",0,R122*E119))</f>
      </c>
      <c r="K119" s="299"/>
      <c r="L119" s="443"/>
      <c r="M119" s="443"/>
      <c r="N119" s="444"/>
      <c r="O119" s="444"/>
      <c r="P119" s="542">
        <f>C42</f>
        <v>20</v>
      </c>
      <c r="Q119" s="468"/>
      <c r="R119" s="543">
        <f>C42</f>
        <v>20</v>
      </c>
      <c r="S119" s="127"/>
      <c r="T119" s="123"/>
      <c r="U119" s="123"/>
      <c r="V119" s="123"/>
      <c r="W119" s="123"/>
      <c r="X119" s="123"/>
      <c r="Y119" s="123"/>
      <c r="Z119" s="123"/>
      <c r="AA119" s="123"/>
      <c r="AB119" s="123"/>
      <c r="AC119" s="124"/>
    </row>
    <row r="120" ht="18.75" customHeight="1">
      <c r="A120" s="293"/>
      <c r="B120" s="544"/>
      <c r="C120" s="517"/>
      <c r="D120" s="545"/>
      <c r="E120" s="519"/>
      <c r="F120" s="520"/>
      <c r="G120" s="521"/>
      <c r="H120" s="546"/>
      <c r="I120" s="521"/>
      <c r="J120" s="313"/>
      <c r="K120" s="299"/>
      <c r="L120" s="443"/>
      <c r="M120" s="443"/>
      <c r="N120" s="444"/>
      <c r="O120" s="444"/>
      <c r="P120" s="547">
        <f>IF(F47="","",H47)</f>
        <v>25</v>
      </c>
      <c r="Q120" s="468"/>
      <c r="R120" s="548">
        <f>IF(F47="","",H47)</f>
        <v>25</v>
      </c>
      <c r="S120" s="127"/>
      <c r="T120" s="123"/>
      <c r="U120" s="123"/>
      <c r="V120" s="123"/>
      <c r="W120" s="123"/>
      <c r="X120" s="123"/>
      <c r="Y120" s="123"/>
      <c r="Z120" s="123"/>
      <c r="AA120" s="123"/>
      <c r="AB120" s="123"/>
      <c r="AC120" s="124"/>
    </row>
    <row r="121" ht="18.75" customHeight="1">
      <c r="A121" s="293"/>
      <c r="B121" t="s" s="525">
        <v>234</v>
      </c>
      <c r="C121" s="526"/>
      <c r="D121" s="549"/>
      <c r="E121" s="526"/>
      <c r="F121" s="527">
        <f>SUM(F115:F120)</f>
        <v>1010.491607086021</v>
      </c>
      <c r="G121" s="528"/>
      <c r="H121" t="s" s="529">
        <f>IF(K22="","",SUM(H115:H120))</f>
      </c>
      <c r="I121" s="528"/>
      <c r="J121" t="s" s="530">
        <f>IF(K23="","",SUM(J115:J120))</f>
      </c>
      <c r="K121" s="299"/>
      <c r="L121" s="443"/>
      <c r="M121" s="443"/>
      <c r="N121" s="444"/>
      <c r="O121" s="444"/>
      <c r="P121" s="547">
        <f>IF(F48="","",H48)</f>
        <v>40</v>
      </c>
      <c r="Q121" s="468"/>
      <c r="R121" s="548">
        <f>IF(F48="","",H48)</f>
        <v>40</v>
      </c>
      <c r="S121" s="127"/>
      <c r="T121" s="123"/>
      <c r="U121" s="123"/>
      <c r="V121" s="123"/>
      <c r="W121" s="123"/>
      <c r="X121" s="123"/>
      <c r="Y121" s="123"/>
      <c r="Z121" s="123"/>
      <c r="AA121" s="123"/>
      <c r="AB121" s="123"/>
      <c r="AC121" s="124"/>
    </row>
    <row r="122" ht="18.75" customHeight="1">
      <c r="A122" s="293"/>
      <c r="B122" s="550"/>
      <c r="C122" s="551"/>
      <c r="D122" t="s" s="552">
        <f>IF(OR(G16=9,G16=16,G16=19,G16=21,G16=24,G16=20,G16=25,G16=26,G16=31),"*  System is assuming 35% of animals","")</f>
      </c>
      <c r="E122" t="s" s="553">
        <f>IF(OR(G16=9,G16=16,G16=21,G16=20,G16=24,G16=19),"receive a second GnRH injection.",IF(OR(G16=25,G16=26),"receive the GnRH injection.",""))</f>
      </c>
      <c r="F122" s="554"/>
      <c r="G122" s="555"/>
      <c r="H122" s="248"/>
      <c r="I122" s="555"/>
      <c r="J122" s="556"/>
      <c r="K122" s="299"/>
      <c r="L122" s="443"/>
      <c r="M122" s="443"/>
      <c r="N122" s="444"/>
      <c r="O122" s="444"/>
      <c r="P122" t="s" s="557">
        <f>IF(F49="","",H49)</f>
      </c>
      <c r="Q122" s="468"/>
      <c r="R122" t="s" s="558">
        <f>IF(F49="","",H49)</f>
      </c>
      <c r="S122" s="127"/>
      <c r="T122" s="123"/>
      <c r="U122" s="123"/>
      <c r="V122" s="123"/>
      <c r="W122" s="123"/>
      <c r="X122" s="123"/>
      <c r="Y122" s="123"/>
      <c r="Z122" s="123"/>
      <c r="AA122" s="123"/>
      <c r="AB122" s="123"/>
      <c r="AC122" s="124"/>
    </row>
    <row r="123" ht="18.75" customHeight="1">
      <c r="A123" s="293"/>
      <c r="B123" t="s" s="559">
        <v>235</v>
      </c>
      <c r="C123" s="560"/>
      <c r="D123" s="561"/>
      <c r="E123" s="560"/>
      <c r="F123" s="562">
        <f>F113+F121</f>
        <v>1458.491607086021</v>
      </c>
      <c r="G123" s="563"/>
      <c r="H123" t="s" s="564">
        <f>IF(K22="","",H113+H121)</f>
      </c>
      <c r="I123" s="563"/>
      <c r="J123" t="s" s="565">
        <f>IF(K23="","",J113+J121)</f>
      </c>
      <c r="K123" s="299"/>
      <c r="L123" s="443"/>
      <c r="M123" s="443"/>
      <c r="N123" s="444"/>
      <c r="O123" s="444"/>
      <c r="P123" s="127"/>
      <c r="Q123" s="468"/>
      <c r="R123" s="468"/>
      <c r="S123" s="127"/>
      <c r="T123" s="123"/>
      <c r="U123" s="123"/>
      <c r="V123" s="123"/>
      <c r="W123" s="123"/>
      <c r="X123" s="123"/>
      <c r="Y123" s="123"/>
      <c r="Z123" s="123"/>
      <c r="AA123" s="123"/>
      <c r="AB123" s="123"/>
      <c r="AC123" s="124"/>
    </row>
    <row r="124" ht="18.75" customHeight="1">
      <c r="A124" s="293"/>
      <c r="B124" t="s" s="502">
        <v>236</v>
      </c>
      <c r="C124" s="503"/>
      <c r="D124" s="566"/>
      <c r="E124" s="503"/>
      <c r="F124" s="567">
        <f>IF(C42&gt;0,F123/C42,"NA")</f>
        <v>72.92458035430107</v>
      </c>
      <c r="G124" s="568"/>
      <c r="H124" t="s" s="569">
        <f>IF(K22="","",IF(C42&gt;0,H123/C42,"NA"))</f>
      </c>
      <c r="I124" s="570"/>
      <c r="J124" t="s" s="571">
        <f>IF(K23="","",IF(C42&gt;0,J123/C42,"NA"))</f>
      </c>
      <c r="K124" s="299"/>
      <c r="L124" s="443"/>
      <c r="M124" s="443"/>
      <c r="N124" s="444"/>
      <c r="O124" s="444"/>
      <c r="P124" s="127"/>
      <c r="Q124" s="468"/>
      <c r="R124" s="468"/>
      <c r="S124" s="127"/>
      <c r="T124" s="123"/>
      <c r="U124" s="123"/>
      <c r="V124" s="123"/>
      <c r="W124" s="123"/>
      <c r="X124" s="123"/>
      <c r="Y124" s="123"/>
      <c r="Z124" s="123"/>
      <c r="AA124" s="123"/>
      <c r="AB124" s="123"/>
      <c r="AC124" s="124"/>
    </row>
    <row r="125" ht="18.75" customHeight="1">
      <c r="A125" s="293"/>
      <c r="B125" t="s" s="572">
        <f>IF(G15=2,"Drug Cost - $ range per head (min.to max)","")</f>
      </c>
      <c r="C125" s="573"/>
      <c r="D125" s="574"/>
      <c r="E125" s="575"/>
      <c r="F125" s="576"/>
      <c r="G125" s="577"/>
      <c r="H125" s="576"/>
      <c r="I125" s="577"/>
      <c r="J125" s="578"/>
      <c r="K125" s="299"/>
      <c r="L125" s="443"/>
      <c r="M125" s="443"/>
      <c r="N125" s="444"/>
      <c r="O125" s="444"/>
      <c r="P125" s="127"/>
      <c r="Q125" s="468"/>
      <c r="R125" s="468"/>
      <c r="S125" s="127"/>
      <c r="T125" s="123"/>
      <c r="U125" s="123"/>
      <c r="V125" s="123"/>
      <c r="W125" s="123"/>
      <c r="X125" s="123"/>
      <c r="Y125" s="123"/>
      <c r="Z125" s="123"/>
      <c r="AA125" s="123"/>
      <c r="AB125" s="123"/>
      <c r="AC125" s="124"/>
    </row>
    <row r="126" ht="18.75" customHeight="1">
      <c r="A126" s="293"/>
      <c r="B126" t="s" s="559">
        <v>237</v>
      </c>
      <c r="C126" s="560"/>
      <c r="D126" s="561"/>
      <c r="E126" s="561"/>
      <c r="F126" s="579"/>
      <c r="G126" s="498"/>
      <c r="H126" s="580"/>
      <c r="I126" s="498"/>
      <c r="J126" s="501"/>
      <c r="K126" s="299"/>
      <c r="L126" s="443"/>
      <c r="M126" s="443"/>
      <c r="N126" s="444"/>
      <c r="O126" s="444"/>
      <c r="P126" s="127"/>
      <c r="Q126" s="468"/>
      <c r="R126" s="468"/>
      <c r="S126" s="127"/>
      <c r="T126" s="123"/>
      <c r="U126" s="123"/>
      <c r="V126" s="123"/>
      <c r="W126" s="123"/>
      <c r="X126" s="123"/>
      <c r="Y126" s="123"/>
      <c r="Z126" s="123"/>
      <c r="AA126" s="123"/>
      <c r="AB126" s="123"/>
      <c r="AC126" s="124"/>
    </row>
    <row r="127" ht="18.75" customHeight="1">
      <c r="A127" s="293"/>
      <c r="B127" t="s" s="508">
        <v>238</v>
      </c>
      <c r="C127" s="503"/>
      <c r="D127" s="503"/>
      <c r="E127" s="581"/>
      <c r="F127" s="582">
        <f>IF(C48="",VLOOKUP(G$16,'System Inputs'!A$2:I$39,7),C48)</f>
        <v>36</v>
      </c>
      <c r="G127" s="506"/>
      <c r="H127" t="s" s="583">
        <f>IF(K22="","",VLOOKUP(K$22,'System Inputs'!A$2:I$39,7))</f>
      </c>
      <c r="I127" s="506"/>
      <c r="J127" t="s" s="584">
        <f>IF(K23="","",VLOOKUP(K$23,'System Inputs'!A$2:I$39,7))</f>
      </c>
      <c r="K127" s="299"/>
      <c r="L127" s="443"/>
      <c r="M127" s="443"/>
      <c r="N127" s="444"/>
      <c r="O127" s="444"/>
      <c r="P127" s="127"/>
      <c r="Q127" s="468"/>
      <c r="R127" s="468"/>
      <c r="S127" s="127"/>
      <c r="T127" s="123"/>
      <c r="U127" s="123"/>
      <c r="V127" s="123"/>
      <c r="W127" s="123"/>
      <c r="X127" s="123"/>
      <c r="Y127" s="123"/>
      <c r="Z127" s="123"/>
      <c r="AA127" s="123"/>
      <c r="AB127" s="123"/>
      <c r="AC127" s="124"/>
    </row>
    <row r="128" ht="18.75" customHeight="1">
      <c r="A128" s="293"/>
      <c r="B128" t="s" s="508">
        <v>239</v>
      </c>
      <c r="C128" s="503"/>
      <c r="D128" s="585">
        <f>F127*C42*F42</f>
        <v>14400</v>
      </c>
      <c r="E128" s="515">
        <f>G42</f>
        <v>0.06</v>
      </c>
      <c r="F128" s="511">
        <f>D128*E128</f>
        <v>864</v>
      </c>
      <c r="G128" s="506"/>
      <c r="H128" t="s" s="512">
        <f>IF(K22="","",P131*E128)</f>
      </c>
      <c r="I128" s="586"/>
      <c r="J128" t="s" s="514">
        <f>IF(K23="","",R131*E128)</f>
      </c>
      <c r="K128" s="299"/>
      <c r="L128" s="443"/>
      <c r="M128" s="443"/>
      <c r="N128" s="444"/>
      <c r="O128" s="444"/>
      <c r="P128" s="127"/>
      <c r="Q128" s="468"/>
      <c r="R128" s="468"/>
      <c r="S128" s="127"/>
      <c r="T128" s="123"/>
      <c r="U128" s="123"/>
      <c r="V128" s="123"/>
      <c r="W128" s="123"/>
      <c r="X128" s="123"/>
      <c r="Y128" s="123"/>
      <c r="Z128" s="123"/>
      <c r="AA128" s="123"/>
      <c r="AB128" s="123"/>
      <c r="AC128" s="124"/>
    </row>
    <row r="129" ht="18.75" customHeight="1">
      <c r="A129" s="293"/>
      <c r="B129" t="s" s="508">
        <v>240</v>
      </c>
      <c r="C129" s="503"/>
      <c r="D129" s="585">
        <f>F127*C42*F43</f>
        <v>2880</v>
      </c>
      <c r="E129" s="515">
        <f>G43</f>
        <v>0.11</v>
      </c>
      <c r="F129" s="511">
        <f>D129*E129</f>
        <v>316.8</v>
      </c>
      <c r="G129" s="506"/>
      <c r="H129" t="s" s="512">
        <f>IF(K22="","",P132*E129)</f>
      </c>
      <c r="I129" s="586"/>
      <c r="J129" t="s" s="514">
        <f>IF(K23="","",R132*E129)</f>
      </c>
      <c r="K129" s="299"/>
      <c r="L129" s="443"/>
      <c r="M129" s="443"/>
      <c r="N129" s="444"/>
      <c r="O129" s="444"/>
      <c r="P129" s="127"/>
      <c r="Q129" s="468"/>
      <c r="R129" s="468"/>
      <c r="S129" s="127"/>
      <c r="T129" s="123"/>
      <c r="U129" s="123"/>
      <c r="V129" s="123"/>
      <c r="W129" s="123"/>
      <c r="X129" s="123"/>
      <c r="Y129" s="123"/>
      <c r="Z129" s="123"/>
      <c r="AA129" s="123"/>
      <c r="AB129" s="123"/>
      <c r="AC129" s="124"/>
    </row>
    <row r="130" ht="18.75" customHeight="1">
      <c r="A130" s="293"/>
      <c r="B130" t="s" s="508">
        <v>241</v>
      </c>
      <c r="C130" s="503"/>
      <c r="D130" s="585">
        <f>F127*C42</f>
        <v>720</v>
      </c>
      <c r="E130" s="515">
        <f>C45</f>
        <v>0.3</v>
      </c>
      <c r="F130" s="511">
        <f>D130*E130</f>
        <v>216</v>
      </c>
      <c r="G130" s="506"/>
      <c r="H130" t="s" s="512">
        <f>IF(K22="","",P134*E130)</f>
      </c>
      <c r="I130" s="586"/>
      <c r="J130" t="s" s="514">
        <f>IF(K23="","",R134*E130)</f>
      </c>
      <c r="K130" s="299"/>
      <c r="L130" s="443"/>
      <c r="M130" s="443"/>
      <c r="N130" s="444"/>
      <c r="O130" s="444"/>
      <c r="P130" s="127">
        <f>VLOOKUP(K$22,'System Inputs'!A$2:I$39,7)</f>
      </c>
      <c r="Q130" s="468"/>
      <c r="R130" s="468">
        <f>VLOOKUP(K$23,'System Inputs'!A$2:I$39,7)</f>
      </c>
      <c r="S130" s="127"/>
      <c r="T130" s="123"/>
      <c r="U130" s="123"/>
      <c r="V130" s="123"/>
      <c r="W130" s="123"/>
      <c r="X130" s="123"/>
      <c r="Y130" s="123"/>
      <c r="Z130" s="123"/>
      <c r="AA130" s="123"/>
      <c r="AB130" s="123"/>
      <c r="AC130" s="124"/>
    </row>
    <row r="131" ht="18.75" customHeight="1">
      <c r="A131" s="293"/>
      <c r="B131" t="s" s="516">
        <v>242</v>
      </c>
      <c r="C131" s="517"/>
      <c r="D131" s="587">
        <f>F127*C42*F45</f>
        <v>180</v>
      </c>
      <c r="E131" s="588">
        <f>G45</f>
        <v>0.25</v>
      </c>
      <c r="F131" s="520">
        <f>D131*E131</f>
        <v>45</v>
      </c>
      <c r="G131" s="521"/>
      <c r="H131" t="s" s="522">
        <f>IF(K22="","",P135*E131)</f>
      </c>
      <c r="I131" s="589"/>
      <c r="J131" t="s" s="524">
        <f>IF(K23="","",R135*E131)</f>
      </c>
      <c r="K131" s="299"/>
      <c r="L131" s="443"/>
      <c r="M131" s="443"/>
      <c r="N131" s="444"/>
      <c r="O131" s="444"/>
      <c r="P131" s="127">
        <f>C$42*VLOOKUP(K$22,'System Inputs'!A$2:I$39,7)*F42</f>
      </c>
      <c r="Q131" s="468"/>
      <c r="R131" s="468">
        <f>C$42*VLOOKUP(K$23,'System Inputs'!A$2:I$39,7)*F42</f>
      </c>
      <c r="S131" s="127"/>
      <c r="T131" s="123"/>
      <c r="U131" s="123"/>
      <c r="V131" s="123"/>
      <c r="W131" s="123"/>
      <c r="X131" s="123"/>
      <c r="Y131" s="123"/>
      <c r="Z131" s="123"/>
      <c r="AA131" s="123"/>
      <c r="AB131" s="123"/>
      <c r="AC131" s="124"/>
    </row>
    <row r="132" ht="18.75" customHeight="1">
      <c r="A132" s="293"/>
      <c r="B132" t="s" s="525">
        <v>243</v>
      </c>
      <c r="C132" s="526"/>
      <c r="D132" s="549"/>
      <c r="E132" s="526"/>
      <c r="F132" s="527">
        <f>SUM(F128:F131)</f>
        <v>1441.8</v>
      </c>
      <c r="G132" s="528"/>
      <c r="H132" t="s" s="529">
        <f>IF(K22="","",SUM(H128:H131))</f>
      </c>
      <c r="I132" s="528"/>
      <c r="J132" t="s" s="530">
        <f>IF(K23="","",SUM(J128:J131))</f>
      </c>
      <c r="K132" s="299"/>
      <c r="L132" s="443"/>
      <c r="M132" s="443"/>
      <c r="N132" s="444"/>
      <c r="O132" s="444"/>
      <c r="P132" s="127">
        <f>C$42*VLOOKUP(K$22,'System Inputs'!A$2:I$39,7)*F43</f>
      </c>
      <c r="Q132" s="468"/>
      <c r="R132" s="468">
        <f>C$42*VLOOKUP(K$23,'System Inputs'!A$2:I$39,7)*F43</f>
      </c>
      <c r="S132" s="127"/>
      <c r="T132" s="123"/>
      <c r="U132" s="123"/>
      <c r="V132" s="123"/>
      <c r="W132" s="123"/>
      <c r="X132" s="123"/>
      <c r="Y132" s="123"/>
      <c r="Z132" s="123"/>
      <c r="AA132" s="123"/>
      <c r="AB132" s="123"/>
      <c r="AC132" s="124"/>
    </row>
    <row r="133" ht="18.75" customHeight="1">
      <c r="A133" s="293"/>
      <c r="B133" t="s" s="590">
        <v>244</v>
      </c>
      <c r="C133" s="551"/>
      <c r="D133" s="591"/>
      <c r="E133" s="551"/>
      <c r="F133" s="592">
        <f>IF(F132&gt;0,F132/F127/C42,0)</f>
        <v>2.0025</v>
      </c>
      <c r="G133" s="326"/>
      <c r="H133" s="593"/>
      <c r="I133" s="326"/>
      <c r="J133" s="594"/>
      <c r="K133" s="299"/>
      <c r="L133" s="443"/>
      <c r="M133" s="443"/>
      <c r="N133" s="444"/>
      <c r="O133" s="444"/>
      <c r="P133" s="127"/>
      <c r="Q133" s="468"/>
      <c r="R133" s="468"/>
      <c r="S133" s="127"/>
      <c r="T133" s="123"/>
      <c r="U133" s="123"/>
      <c r="V133" s="123"/>
      <c r="W133" s="123"/>
      <c r="X133" s="123"/>
      <c r="Y133" s="123"/>
      <c r="Z133" s="123"/>
      <c r="AA133" s="123"/>
      <c r="AB133" s="123"/>
      <c r="AC133" s="124"/>
    </row>
    <row r="134" ht="18.75" customHeight="1">
      <c r="A134" s="293"/>
      <c r="B134" t="s" s="595">
        <v>245</v>
      </c>
      <c r="C134" s="596"/>
      <c r="D134" s="597"/>
      <c r="E134" s="596"/>
      <c r="F134" s="598">
        <f>(F123+F132)/C42</f>
        <v>145.014580354301</v>
      </c>
      <c r="G134" s="282"/>
      <c r="H134" s="282"/>
      <c r="I134" s="282"/>
      <c r="J134" s="556"/>
      <c r="K134" s="299"/>
      <c r="L134" s="443"/>
      <c r="M134" s="443"/>
      <c r="N134" s="444"/>
      <c r="O134" s="444"/>
      <c r="P134" s="127">
        <f>C$42*VLOOKUP(K$22,'System Inputs'!A$2:I$39,7)</f>
      </c>
      <c r="Q134" s="468"/>
      <c r="R134" s="468">
        <f>C$42*VLOOKUP(K$23,'System Inputs'!A$2:I$39,7)</f>
      </c>
      <c r="S134" s="127"/>
      <c r="T134" s="123"/>
      <c r="U134" s="123"/>
      <c r="V134" s="123"/>
      <c r="W134" s="123"/>
      <c r="X134" s="123"/>
      <c r="Y134" s="123"/>
      <c r="Z134" s="123"/>
      <c r="AA134" s="123"/>
      <c r="AB134" s="123"/>
      <c r="AC134" s="124"/>
    </row>
    <row r="135" ht="18.75" customHeight="1">
      <c r="A135" s="260"/>
      <c r="B135" s="258"/>
      <c r="C135" s="258"/>
      <c r="D135" s="418"/>
      <c r="E135" s="258"/>
      <c r="F135" s="258"/>
      <c r="G135" s="258"/>
      <c r="H135" s="258"/>
      <c r="I135" s="258"/>
      <c r="J135" s="258"/>
      <c r="K135" s="353"/>
      <c r="L135" s="443"/>
      <c r="M135" s="443"/>
      <c r="N135" s="444"/>
      <c r="O135" s="444"/>
      <c r="P135" s="127">
        <f>C$42*VLOOKUP(K$22,'System Inputs'!A$2:I$39,7)*F45</f>
      </c>
      <c r="Q135" s="468"/>
      <c r="R135" s="468">
        <f>C$42*VLOOKUP(K$23,'System Inputs'!A$2:I$39,7)*F45</f>
      </c>
      <c r="S135" s="127"/>
      <c r="T135" s="123"/>
      <c r="U135" s="123"/>
      <c r="V135" s="123"/>
      <c r="W135" s="123"/>
      <c r="X135" s="123"/>
      <c r="Y135" s="123"/>
      <c r="Z135" s="123"/>
      <c r="AA135" s="123"/>
      <c r="AB135" s="123"/>
      <c r="AC135" s="124"/>
    </row>
    <row r="136" ht="18.75" customHeight="1">
      <c r="A136" s="293"/>
      <c r="B136" t="s" s="487">
        <v>246</v>
      </c>
      <c r="C136" s="488"/>
      <c r="D136" s="488"/>
      <c r="E136" s="488"/>
      <c r="F136" s="488"/>
      <c r="G136" s="488"/>
      <c r="H136" s="488"/>
      <c r="I136" s="488"/>
      <c r="J136" t="s" s="599">
        <f>D51</f>
        <v>247</v>
      </c>
      <c r="K136" s="427"/>
      <c r="L136" s="443"/>
      <c r="M136" s="443"/>
      <c r="N136" s="444"/>
      <c r="O136" s="444"/>
      <c r="P136" s="127"/>
      <c r="Q136" s="468"/>
      <c r="R136" s="468"/>
      <c r="S136" s="127"/>
      <c r="T136" s="123"/>
      <c r="U136" s="123"/>
      <c r="V136" s="123"/>
      <c r="W136" s="123"/>
      <c r="X136" s="123"/>
      <c r="Y136" s="123"/>
      <c r="Z136" s="123"/>
      <c r="AA136" s="123"/>
      <c r="AB136" s="123"/>
      <c r="AC136" s="124"/>
    </row>
    <row r="137" ht="18.75" customHeight="1">
      <c r="A137" s="293"/>
      <c r="B137" s="600"/>
      <c r="C137" s="601"/>
      <c r="D137" s="602"/>
      <c r="E137" s="601"/>
      <c r="F137" s="601"/>
      <c r="G137" s="601"/>
      <c r="H137" s="601"/>
      <c r="I137" s="601"/>
      <c r="J137" s="603"/>
      <c r="K137" s="299"/>
      <c r="L137" s="443"/>
      <c r="M137" s="443"/>
      <c r="N137" s="444"/>
      <c r="O137" s="444"/>
      <c r="P137" s="127"/>
      <c r="Q137" s="468"/>
      <c r="R137" s="468"/>
      <c r="S137" s="127"/>
      <c r="T137" s="123"/>
      <c r="U137" s="123"/>
      <c r="V137" s="123"/>
      <c r="W137" s="123"/>
      <c r="X137" s="123"/>
      <c r="Y137" s="123"/>
      <c r="Z137" s="123"/>
      <c r="AA137" s="123"/>
      <c r="AB137" s="123"/>
      <c r="AC137" s="124"/>
    </row>
    <row r="138" ht="18.75" customHeight="1">
      <c r="A138" s="293"/>
      <c r="B138" t="s" s="604">
        <v>248</v>
      </c>
      <c r="C138" s="605"/>
      <c r="D138" s="605"/>
      <c r="E138" s="606"/>
      <c r="F138" s="605"/>
      <c r="G138" s="607"/>
      <c r="H138" t="s" s="608">
        <v>249</v>
      </c>
      <c r="I138" s="605"/>
      <c r="J138" s="609"/>
      <c r="K138" s="299"/>
      <c r="L138" s="443"/>
      <c r="M138" s="443"/>
      <c r="N138" s="444"/>
      <c r="O138" s="444"/>
      <c r="P138" s="127"/>
      <c r="Q138" s="468"/>
      <c r="R138" s="468"/>
      <c r="S138" s="127"/>
      <c r="T138" s="123"/>
      <c r="U138" s="123"/>
      <c r="V138" s="123"/>
      <c r="W138" s="123"/>
      <c r="X138" s="123"/>
      <c r="Y138" s="123"/>
      <c r="Z138" s="123"/>
      <c r="AA138" s="123"/>
      <c r="AB138" s="123"/>
      <c r="AC138" s="124"/>
    </row>
    <row r="139" ht="18.75" customHeight="1">
      <c r="A139" s="293"/>
      <c r="B139" t="s" s="610">
        <v>250</v>
      </c>
      <c r="C139" s="117"/>
      <c r="D139" s="117"/>
      <c r="E139" s="117"/>
      <c r="F139" s="611">
        <v>0.35</v>
      </c>
      <c r="G139" s="611">
        <f>F139+0.1</f>
        <v>0.45</v>
      </c>
      <c r="H139" s="611">
        <f>G139+0.1</f>
        <v>0.5499999999999999</v>
      </c>
      <c r="I139" s="611">
        <f>H139+0.1</f>
        <v>0.6499999999999999</v>
      </c>
      <c r="J139" s="612">
        <f>I139+0.1</f>
        <v>0.7499999999999999</v>
      </c>
      <c r="K139" s="299"/>
      <c r="L139" s="442"/>
      <c r="M139" s="443"/>
      <c r="N139" s="444"/>
      <c r="O139" s="444"/>
      <c r="P139" s="118"/>
      <c r="Q139" s="121"/>
      <c r="R139" s="121"/>
      <c r="S139" s="118"/>
      <c r="T139" s="123"/>
      <c r="U139" s="123"/>
      <c r="V139" s="123"/>
      <c r="W139" s="123"/>
      <c r="X139" s="123"/>
      <c r="Y139" s="123"/>
      <c r="Z139" s="123"/>
      <c r="AA139" s="123"/>
      <c r="AB139" s="123"/>
      <c r="AC139" s="124"/>
    </row>
    <row r="140" ht="18.75" customHeight="1">
      <c r="A140" s="293"/>
      <c r="B140" s="613">
        <f>VLOOKUP(G$16,'System Inputs'!A2:M36,12)</f>
        <v>1</v>
      </c>
      <c r="C140" t="s" s="614">
        <v>251</v>
      </c>
      <c r="D140" s="615"/>
      <c r="E140" s="495"/>
      <c r="F140" s="616">
        <f>$B140*F$139</f>
        <v>0.35</v>
      </c>
      <c r="G140" s="616">
        <f>$B140*G$139</f>
        <v>0.45</v>
      </c>
      <c r="H140" s="616">
        <f>$B140*H$139</f>
        <v>0.5499999999999999</v>
      </c>
      <c r="I140" s="616">
        <f>$B140*I$139</f>
        <v>0.6499999999999999</v>
      </c>
      <c r="J140" s="617">
        <f>$B140*J$139</f>
        <v>0.7499999999999999</v>
      </c>
      <c r="K140" s="299"/>
      <c r="L140" s="442"/>
      <c r="M140" s="443"/>
      <c r="N140" s="444"/>
      <c r="O140" s="444"/>
      <c r="P140" s="118"/>
      <c r="Q140" s="121"/>
      <c r="R140" s="121"/>
      <c r="S140" s="118"/>
      <c r="T140" s="123"/>
      <c r="U140" s="123"/>
      <c r="V140" s="123"/>
      <c r="W140" s="123"/>
      <c r="X140" s="123"/>
      <c r="Y140" s="123"/>
      <c r="Z140" s="123"/>
      <c r="AA140" s="123"/>
      <c r="AB140" s="123"/>
      <c r="AC140" s="124"/>
    </row>
    <row r="141" ht="18.75" customHeight="1">
      <c r="A141" s="293"/>
      <c r="B141" s="618"/>
      <c r="C141" t="s" s="619">
        <v>252</v>
      </c>
      <c r="D141" s="620"/>
      <c r="E141" s="311"/>
      <c r="F141" s="621">
        <f>IF($C$42&gt;0,IF(F140=0,0,($F$113+($F$116)*$B140+$F$117+$F$118+$F$119+$F$115)/(F140*$C$42)),"NA")</f>
        <v>208.3559438694316</v>
      </c>
      <c r="G141" s="621">
        <f>IF($C$42&gt;0,IF(G140=0,0,($F$113+($F$116)*$B140+$F$117+$F$118+$F$119+$F$115)/(G140*$C$42)),"NA")</f>
        <v>162.0546230095579</v>
      </c>
      <c r="H141" s="621">
        <f>IF($C$42&gt;0,IF(H140=0,0,($F$113+($F$116)*$B140+$F$117+$F$118+$F$119+$F$115)/(H140*$C$42)),"NA")</f>
        <v>132.5901460987292</v>
      </c>
      <c r="I141" s="621">
        <f>IF($C$42&gt;0,IF(I140=0,0,($F$113+($F$116)*$B140+$F$117+$F$118+$F$119+$F$115)/(I140*$C$42)),"NA")</f>
        <v>112.1916620835401</v>
      </c>
      <c r="J141" s="622">
        <f>IF($C$42&gt;0,IF(J140=0,0,($F$113+($F$116)*$B140+$F$117+$F$118+$F$119+$F$115)/(J140*$C$42)),"NA")</f>
        <v>97.23277380573477</v>
      </c>
      <c r="K141" s="299"/>
      <c r="L141" s="443"/>
      <c r="M141" s="443"/>
      <c r="N141" s="444"/>
      <c r="O141" s="444"/>
      <c r="P141" s="127"/>
      <c r="Q141" s="468"/>
      <c r="R141" s="468"/>
      <c r="S141" s="127"/>
      <c r="T141" s="123"/>
      <c r="U141" s="123"/>
      <c r="V141" s="123"/>
      <c r="W141" s="123"/>
      <c r="X141" s="123"/>
      <c r="Y141" s="123"/>
      <c r="Z141" s="123"/>
      <c r="AA141" s="123"/>
      <c r="AB141" s="123"/>
      <c r="AC141" s="124"/>
    </row>
    <row r="142" ht="18.75" customHeight="1">
      <c r="A142" s="293"/>
      <c r="B142" s="623">
        <f>IF(B140&lt;1,B140+0.05,0)</f>
        <v>0</v>
      </c>
      <c r="C142" t="s" s="624">
        <v>251</v>
      </c>
      <c r="D142" s="625"/>
      <c r="E142" s="301"/>
      <c r="F142" s="626">
        <f>$B142*F$139</f>
        <v>0</v>
      </c>
      <c r="G142" s="626">
        <f>$B142*G$139</f>
        <v>0</v>
      </c>
      <c r="H142" s="626">
        <f>$B142*H$139</f>
        <v>0</v>
      </c>
      <c r="I142" s="626">
        <f>$B142*I$139</f>
        <v>0</v>
      </c>
      <c r="J142" s="627">
        <f>$B142*J$139</f>
        <v>0</v>
      </c>
      <c r="K142" s="299"/>
      <c r="L142" s="443"/>
      <c r="M142" s="443"/>
      <c r="N142" s="444"/>
      <c r="O142" s="444"/>
      <c r="P142" s="127"/>
      <c r="Q142" s="468"/>
      <c r="R142" s="468"/>
      <c r="S142" s="127"/>
      <c r="T142" s="123"/>
      <c r="U142" s="123"/>
      <c r="V142" s="123"/>
      <c r="W142" s="123"/>
      <c r="X142" s="123"/>
      <c r="Y142" s="123"/>
      <c r="Z142" s="123"/>
      <c r="AA142" s="123"/>
      <c r="AB142" s="123"/>
      <c r="AC142" s="124"/>
    </row>
    <row r="143" ht="18.75" customHeight="1">
      <c r="A143" s="293"/>
      <c r="B143" s="618"/>
      <c r="C143" t="s" s="619">
        <v>252</v>
      </c>
      <c r="D143" s="620"/>
      <c r="E143" s="311"/>
      <c r="F143" s="621">
        <f>IF($C$42&gt;0,IF(F142=0,0,($F$113+($F$116)*$B142+$F$117+$F$118+$F$119+$F$115)/(F142*$C$42)),"NA")</f>
        <v>0</v>
      </c>
      <c r="G143" s="621">
        <f>IF($C$42&gt;0,IF(G142=0,0,($F$113+($F$116)*$B142+$F$117+$F$118+$F$119+$F$115)/(G142*$C$42)),"NA")</f>
        <v>0</v>
      </c>
      <c r="H143" s="621">
        <f>IF($C$42&gt;0,IF(H142=0,0,($F$113+($F$116)*$B142+$F$117+$F$118+$F$119+$F$115)/(H142*$C$42)),"NA")</f>
        <v>0</v>
      </c>
      <c r="I143" s="621">
        <f>IF($C$42&gt;0,IF(I142=0,0,($F$113+($F$116)*$B142+$F$117+$F$118+$F$119+$F$115)/(I142*$C$42)),"NA")</f>
        <v>0</v>
      </c>
      <c r="J143" s="622">
        <f>IF($C$42&gt;0,IF(J142=0,0,($F$113+($F$116)*$B142+$F$117+$F$118+$F$119+$F$115)/(J142*$C$42)),"NA")</f>
        <v>0</v>
      </c>
      <c r="K143" s="299"/>
      <c r="L143" s="443"/>
      <c r="M143" s="443"/>
      <c r="N143" s="444"/>
      <c r="O143" s="444"/>
      <c r="P143" s="127"/>
      <c r="Q143" s="468"/>
      <c r="R143" s="468"/>
      <c r="S143" s="127"/>
      <c r="T143" s="123"/>
      <c r="U143" s="123"/>
      <c r="V143" s="123"/>
      <c r="W143" s="123"/>
      <c r="X143" s="123"/>
      <c r="Y143" s="123"/>
      <c r="Z143" s="123"/>
      <c r="AA143" s="123"/>
      <c r="AB143" s="123"/>
      <c r="AC143" s="124"/>
    </row>
    <row r="144" ht="18.75" customHeight="1">
      <c r="A144" s="293"/>
      <c r="B144" s="623">
        <f>IF(B142=0,0,B142+0.05)</f>
        <v>0</v>
      </c>
      <c r="C144" t="s" s="624">
        <v>251</v>
      </c>
      <c r="D144" s="628"/>
      <c r="E144" s="301"/>
      <c r="F144" s="626">
        <f>$B144*F$139</f>
        <v>0</v>
      </c>
      <c r="G144" s="626">
        <f>$B144*G$139</f>
        <v>0</v>
      </c>
      <c r="H144" s="626">
        <f>$B144*H$139</f>
        <v>0</v>
      </c>
      <c r="I144" s="626">
        <f>$B144*I$139</f>
        <v>0</v>
      </c>
      <c r="J144" s="627">
        <f>$B144*J$139</f>
        <v>0</v>
      </c>
      <c r="K144" s="299"/>
      <c r="L144" s="443"/>
      <c r="M144" s="443"/>
      <c r="N144" s="444"/>
      <c r="O144" s="444"/>
      <c r="P144" s="127"/>
      <c r="Q144" s="468"/>
      <c r="R144" s="468"/>
      <c r="S144" s="127"/>
      <c r="T144" s="123"/>
      <c r="U144" s="123"/>
      <c r="V144" s="123"/>
      <c r="W144" s="123"/>
      <c r="X144" s="123"/>
      <c r="Y144" s="123"/>
      <c r="Z144" s="123"/>
      <c r="AA144" s="123"/>
      <c r="AB144" s="123"/>
      <c r="AC144" s="124"/>
    </row>
    <row r="145" ht="18.75" customHeight="1">
      <c r="A145" s="293"/>
      <c r="B145" s="618"/>
      <c r="C145" t="s" s="619">
        <v>252</v>
      </c>
      <c r="D145" s="620"/>
      <c r="E145" s="311"/>
      <c r="F145" s="621">
        <f>IF($C$42&gt;0,IF(F144=0,0,($F$113+($F$116)*$B144+$F$117+$F$118+$F$119+$F$115)/(F144*$C$42)),"NA")</f>
        <v>0</v>
      </c>
      <c r="G145" s="621">
        <f>IF($C$42&gt;0,IF(G144=0,0,($F$113+($F$116)*$B144+$F$117+$F$118+$F$119+$F$115)/(G144*$C$42)),"NA")</f>
        <v>0</v>
      </c>
      <c r="H145" s="621">
        <f>IF($C$42&gt;0,IF(H144=0,0,($F$113+($F$116)*$B144+$F$117+$F$118+$F$119+$F$115)/(H144*$C$42)),"NA")</f>
        <v>0</v>
      </c>
      <c r="I145" s="621">
        <f>IF($C$42&gt;0,IF(I144=0,0,($F$113+($F$116)*$B144+$F$117+$F$118+$F$119+$F$115)/(I144*$C$42)),"NA")</f>
        <v>0</v>
      </c>
      <c r="J145" s="622">
        <f>IF($C$42&gt;0,IF(J144=0,0,($F$113+($F$116)*$B144+$F$117+$F$118+$F$119+$F$115)/(J144*$C$42)),"NA")</f>
        <v>0</v>
      </c>
      <c r="K145" s="299"/>
      <c r="L145" s="443"/>
      <c r="M145" s="443"/>
      <c r="N145" s="444"/>
      <c r="O145" s="444"/>
      <c r="P145" s="127"/>
      <c r="Q145" s="468"/>
      <c r="R145" s="468"/>
      <c r="S145" s="127"/>
      <c r="T145" s="123"/>
      <c r="U145" s="123"/>
      <c r="V145" s="123"/>
      <c r="W145" s="123"/>
      <c r="X145" s="123"/>
      <c r="Y145" s="123"/>
      <c r="Z145" s="123"/>
      <c r="AA145" s="123"/>
      <c r="AB145" s="123"/>
      <c r="AC145" s="124"/>
    </row>
    <row r="146" ht="18.75" customHeight="1">
      <c r="A146" s="293"/>
      <c r="B146" s="623">
        <f>IF(B144=0,0,B144+0.05)</f>
        <v>0</v>
      </c>
      <c r="C146" t="s" s="624">
        <v>251</v>
      </c>
      <c r="D146" s="628"/>
      <c r="E146" s="301"/>
      <c r="F146" s="626">
        <f>$B146*F$139</f>
        <v>0</v>
      </c>
      <c r="G146" s="626">
        <f>$B146*G$139</f>
        <v>0</v>
      </c>
      <c r="H146" s="626">
        <f>$B146*H$139</f>
        <v>0</v>
      </c>
      <c r="I146" s="626">
        <f>$B146*I$139</f>
        <v>0</v>
      </c>
      <c r="J146" s="627">
        <f>$B146*J$139</f>
        <v>0</v>
      </c>
      <c r="K146" s="299"/>
      <c r="L146" s="443"/>
      <c r="M146" s="443"/>
      <c r="N146" s="444"/>
      <c r="O146" s="444"/>
      <c r="P146" s="127"/>
      <c r="Q146" s="468"/>
      <c r="R146" s="468"/>
      <c r="S146" s="127"/>
      <c r="T146" s="123"/>
      <c r="U146" s="123"/>
      <c r="V146" s="123"/>
      <c r="W146" s="123"/>
      <c r="X146" s="123"/>
      <c r="Y146" s="123"/>
      <c r="Z146" s="123"/>
      <c r="AA146" s="123"/>
      <c r="AB146" s="123"/>
      <c r="AC146" s="124"/>
    </row>
    <row r="147" ht="18.75" customHeight="1">
      <c r="A147" s="293"/>
      <c r="B147" s="618"/>
      <c r="C147" t="s" s="619">
        <v>252</v>
      </c>
      <c r="D147" s="620"/>
      <c r="E147" s="311"/>
      <c r="F147" s="621">
        <f>IF($C$42&gt;0,IF(F146=0,0,($F$113+($F$116)*$B146+$F$117+$F$118+$F$119+$F$115)/(F146*$C$42)),"NA")</f>
        <v>0</v>
      </c>
      <c r="G147" s="621">
        <f>IF($C$42&gt;0,IF(G146=0,0,($F$113+($F$116)*$B146+$F$117+$F$118+$F$119+$F$115)/(G146*$C$42)),"NA")</f>
        <v>0</v>
      </c>
      <c r="H147" s="621">
        <f>IF($C$42&gt;0,IF(H146=0,0,($F$113+($F$116)*$B146+$F$117+$F$118+$F$119+$F$115)/(H146*$C$42)),"NA")</f>
        <v>0</v>
      </c>
      <c r="I147" s="621">
        <f>IF($C$42&gt;0,IF(I146=0,0,($F$113+($F$116)*$B146+$F$117+$F$118+$F$119+$F$115)/(I146*$C$42)),"NA")</f>
        <v>0</v>
      </c>
      <c r="J147" s="622">
        <f>IF($C$42&gt;0,IF(J146=0,0,($F$113+($F$116)*$B146+$F$117+$F$118+$F$119+$F$115)/(J146*$C$42)),"NA")</f>
        <v>0</v>
      </c>
      <c r="K147" s="299"/>
      <c r="L147" s="443"/>
      <c r="M147" s="443"/>
      <c r="N147" s="444"/>
      <c r="O147" s="444"/>
      <c r="P147" s="127"/>
      <c r="Q147" s="468"/>
      <c r="R147" s="468"/>
      <c r="S147" s="127"/>
      <c r="T147" s="123"/>
      <c r="U147" s="123"/>
      <c r="V147" s="123"/>
      <c r="W147" s="123"/>
      <c r="X147" s="123"/>
      <c r="Y147" s="123"/>
      <c r="Z147" s="123"/>
      <c r="AA147" s="123"/>
      <c r="AB147" s="123"/>
      <c r="AC147" s="124"/>
    </row>
    <row r="148" ht="18.75" customHeight="1">
      <c r="A148" s="293"/>
      <c r="B148" s="623">
        <f>IF(B146=0,0,B146+0.05)</f>
        <v>0</v>
      </c>
      <c r="C148" t="s" s="624">
        <v>251</v>
      </c>
      <c r="D148" s="628"/>
      <c r="E148" s="301"/>
      <c r="F148" s="626">
        <f>$B148*F$139</f>
        <v>0</v>
      </c>
      <c r="G148" s="626">
        <f>$B148*G$139</f>
        <v>0</v>
      </c>
      <c r="H148" s="626">
        <f>$B148*H$139</f>
        <v>0</v>
      </c>
      <c r="I148" s="626">
        <f>$B148*I$139</f>
        <v>0</v>
      </c>
      <c r="J148" s="627">
        <f>$B148*J$139</f>
        <v>0</v>
      </c>
      <c r="K148" s="299"/>
      <c r="L148" s="443"/>
      <c r="M148" s="443"/>
      <c r="N148" s="444"/>
      <c r="O148" s="444"/>
      <c r="P148" s="127"/>
      <c r="Q148" s="468"/>
      <c r="R148" s="468"/>
      <c r="S148" s="127"/>
      <c r="T148" s="123"/>
      <c r="U148" s="123"/>
      <c r="V148" s="123"/>
      <c r="W148" s="123"/>
      <c r="X148" s="123"/>
      <c r="Y148" s="123"/>
      <c r="Z148" s="123"/>
      <c r="AA148" s="123"/>
      <c r="AB148" s="123"/>
      <c r="AC148" s="124"/>
    </row>
    <row r="149" ht="18.75" customHeight="1">
      <c r="A149" s="293"/>
      <c r="B149" s="618"/>
      <c r="C149" t="s" s="619">
        <v>252</v>
      </c>
      <c r="D149" s="620"/>
      <c r="E149" s="311"/>
      <c r="F149" s="621">
        <f>IF($C$42&gt;0,IF(F148=0,0,($F$113+($F$116)*$B148+$F$117+$F$118+$F$119+$F$115)/(F148*$C$42)),"NA")</f>
        <v>0</v>
      </c>
      <c r="G149" s="621">
        <f>IF($C$42&gt;0,IF(G148=0,0,($F$113+($F$116)*$B148+$F$117+$F$118+$F$119+$F$115)/(G148*$C$42)),"NA")</f>
        <v>0</v>
      </c>
      <c r="H149" s="621">
        <f>IF($C$42&gt;0,IF(H148=0,0,($F$113+($F$116)*$B148+$F$117+$F$118+$F$119+$F$115)/(H148*$C$42)),"NA")</f>
        <v>0</v>
      </c>
      <c r="I149" s="621">
        <f>IF($C$42&gt;0,IF(I148=0,0,($F$113+($F$116)*$B148+$F$117+$F$118+$F$119+$F$115)/(I148*$C$42)),"NA")</f>
        <v>0</v>
      </c>
      <c r="J149" s="622">
        <f>IF($C$42&gt;0,IF(J148=0,0,($F$113+($F$116)*$B148+$F$117+$F$118+$F$119+$F$115)/(J148*$C$42)),"NA")</f>
        <v>0</v>
      </c>
      <c r="K149" s="299"/>
      <c r="L149" s="443"/>
      <c r="M149" s="443"/>
      <c r="N149" s="444"/>
      <c r="O149" s="444"/>
      <c r="P149" s="127"/>
      <c r="Q149" s="468"/>
      <c r="R149" s="468"/>
      <c r="S149" s="127"/>
      <c r="T149" s="123"/>
      <c r="U149" s="123"/>
      <c r="V149" s="123"/>
      <c r="W149" s="123"/>
      <c r="X149" s="123"/>
      <c r="Y149" s="123"/>
      <c r="Z149" s="123"/>
      <c r="AA149" s="123"/>
      <c r="AB149" s="123"/>
      <c r="AC149" s="124"/>
    </row>
    <row r="150" ht="18.75" customHeight="1">
      <c r="A150" s="293"/>
      <c r="B150" s="629"/>
      <c r="C150" s="526"/>
      <c r="D150" s="630"/>
      <c r="E150" s="526"/>
      <c r="F150" s="526"/>
      <c r="G150" t="s" s="631">
        <v>253</v>
      </c>
      <c r="H150" s="632">
        <f>IF(F132&gt;0,F132/C42,"")</f>
        <v>72.09</v>
      </c>
      <c r="I150" t="s" s="633">
        <f>IF(F132&gt;0,"per head.","")</f>
        <v>254</v>
      </c>
      <c r="J150" s="303"/>
      <c r="K150" s="299"/>
      <c r="L150" s="443"/>
      <c r="M150" s="443"/>
      <c r="N150" s="444"/>
      <c r="O150" s="444"/>
      <c r="P150" s="127"/>
      <c r="Q150" s="468"/>
      <c r="R150" s="468"/>
      <c r="S150" s="127"/>
      <c r="T150" s="123"/>
      <c r="U150" s="123"/>
      <c r="V150" s="123"/>
      <c r="W150" s="123"/>
      <c r="X150" s="123"/>
      <c r="Y150" s="123"/>
      <c r="Z150" s="123"/>
      <c r="AA150" s="123"/>
      <c r="AB150" s="123"/>
      <c r="AC150" s="124"/>
    </row>
    <row r="151" ht="18.75" customHeight="1">
      <c r="A151" s="293"/>
      <c r="B151" s="634"/>
      <c r="C151" s="282"/>
      <c r="D151" s="635"/>
      <c r="E151" s="282"/>
      <c r="F151" s="282"/>
      <c r="G151" s="282"/>
      <c r="H151" s="282"/>
      <c r="I151" s="282"/>
      <c r="J151" s="556"/>
      <c r="K151" s="299"/>
      <c r="L151" s="443"/>
      <c r="M151" s="443"/>
      <c r="N151" s="444"/>
      <c r="O151" s="444"/>
      <c r="P151" s="127"/>
      <c r="Q151" s="468"/>
      <c r="R151" s="468"/>
      <c r="S151" s="127"/>
      <c r="T151" s="123"/>
      <c r="U151" s="123"/>
      <c r="V151" s="123"/>
      <c r="W151" s="123"/>
      <c r="X151" s="123"/>
      <c r="Y151" s="123"/>
      <c r="Z151" s="123"/>
      <c r="AA151" s="123"/>
      <c r="AB151" s="123"/>
      <c r="AC151" s="124"/>
    </row>
    <row r="152" ht="15.75" customHeight="1">
      <c r="A152" s="260"/>
      <c r="B152" s="636"/>
      <c r="C152" s="636"/>
      <c r="D152" s="637"/>
      <c r="E152" s="636"/>
      <c r="F152" s="636"/>
      <c r="G152" s="636"/>
      <c r="H152" s="636"/>
      <c r="I152" s="636"/>
      <c r="J152" s="636"/>
      <c r="K152" s="353"/>
      <c r="L152" s="443"/>
      <c r="M152" s="443"/>
      <c r="N152" s="444"/>
      <c r="O152" s="444"/>
      <c r="P152" s="127"/>
      <c r="Q152" s="468"/>
      <c r="R152" s="468"/>
      <c r="S152" s="127"/>
      <c r="T152" s="123"/>
      <c r="U152" s="123"/>
      <c r="V152" s="123"/>
      <c r="W152" s="123"/>
      <c r="X152" s="123"/>
      <c r="Y152" s="123"/>
      <c r="Z152" s="123"/>
      <c r="AA152" s="123"/>
      <c r="AB152" s="123"/>
      <c r="AC152" s="124"/>
    </row>
    <row r="153" ht="15.75" customHeight="1">
      <c r="A153" s="260"/>
      <c r="B153" s="353"/>
      <c r="C153" s="353"/>
      <c r="D153" s="638"/>
      <c r="E153" s="353"/>
      <c r="F153" s="353"/>
      <c r="G153" s="353"/>
      <c r="H153" s="353"/>
      <c r="I153" s="353"/>
      <c r="J153" s="353"/>
      <c r="K153" s="353"/>
      <c r="L153" s="443"/>
      <c r="M153" s="443"/>
      <c r="N153" s="444"/>
      <c r="O153" s="444"/>
      <c r="P153" s="127"/>
      <c r="Q153" s="468"/>
      <c r="R153" s="468"/>
      <c r="S153" s="127"/>
      <c r="T153" s="123"/>
      <c r="U153" s="123"/>
      <c r="V153" s="123"/>
      <c r="W153" s="123"/>
      <c r="X153" s="123"/>
      <c r="Y153" s="123"/>
      <c r="Z153" s="123"/>
      <c r="AA153" s="123"/>
      <c r="AB153" s="123"/>
      <c r="AC153" s="124"/>
    </row>
    <row r="154" ht="15.75" customHeight="1">
      <c r="A154" s="260"/>
      <c r="B154" s="353"/>
      <c r="C154" s="353"/>
      <c r="D154" s="638"/>
      <c r="E154" s="353"/>
      <c r="F154" s="353"/>
      <c r="G154" s="353"/>
      <c r="H154" s="353"/>
      <c r="I154" s="353"/>
      <c r="J154" s="353"/>
      <c r="K154" s="353"/>
      <c r="L154" s="443"/>
      <c r="M154" s="443"/>
      <c r="N154" s="444"/>
      <c r="O154" s="444"/>
      <c r="P154" s="127"/>
      <c r="Q154" s="468"/>
      <c r="R154" s="468"/>
      <c r="S154" s="127"/>
      <c r="T154" s="123"/>
      <c r="U154" s="123"/>
      <c r="V154" s="123"/>
      <c r="W154" s="123"/>
      <c r="X154" s="123"/>
      <c r="Y154" s="123"/>
      <c r="Z154" s="123"/>
      <c r="AA154" s="123"/>
      <c r="AB154" s="123"/>
      <c r="AC154" s="124"/>
    </row>
    <row r="155" ht="15.75" customHeight="1">
      <c r="A155" s="260"/>
      <c r="B155" s="353"/>
      <c r="C155" s="353"/>
      <c r="D155" s="638"/>
      <c r="E155" s="353"/>
      <c r="F155" s="353"/>
      <c r="G155" s="353"/>
      <c r="H155" s="353"/>
      <c r="I155" s="353"/>
      <c r="J155" s="353"/>
      <c r="K155" s="353"/>
      <c r="L155" s="442"/>
      <c r="M155" s="443"/>
      <c r="N155" s="444"/>
      <c r="O155" s="444"/>
      <c r="P155" s="118"/>
      <c r="Q155" s="121"/>
      <c r="R155" s="121"/>
      <c r="S155" s="118"/>
      <c r="T155" s="123"/>
      <c r="U155" s="123"/>
      <c r="V155" s="123"/>
      <c r="W155" s="123"/>
      <c r="X155" s="123"/>
      <c r="Y155" s="123"/>
      <c r="Z155" s="123"/>
      <c r="AA155" s="123"/>
      <c r="AB155" s="123"/>
      <c r="AC155" s="124"/>
    </row>
    <row r="156" ht="15.75" customHeight="1">
      <c r="A156" s="639"/>
      <c r="B156" s="118"/>
      <c r="C156" s="118"/>
      <c r="D156" s="640"/>
      <c r="E156" s="118"/>
      <c r="F156" s="118"/>
      <c r="G156" s="118"/>
      <c r="H156" s="118"/>
      <c r="I156" s="118"/>
      <c r="J156" s="118"/>
      <c r="K156" s="118"/>
      <c r="L156" s="442"/>
      <c r="M156" s="443"/>
      <c r="N156" s="444"/>
      <c r="O156" s="444"/>
      <c r="P156" s="118"/>
      <c r="Q156" s="121"/>
      <c r="R156" s="121"/>
      <c r="S156" s="118"/>
      <c r="T156" s="123"/>
      <c r="U156" s="123"/>
      <c r="V156" s="123"/>
      <c r="W156" s="123"/>
      <c r="X156" s="123"/>
      <c r="Y156" s="123"/>
      <c r="Z156" s="123"/>
      <c r="AA156" s="123"/>
      <c r="AB156" s="123"/>
      <c r="AC156" s="124"/>
    </row>
    <row r="157" ht="15.75" customHeight="1">
      <c r="A157" s="639"/>
      <c r="B157" s="118"/>
      <c r="C157" s="118"/>
      <c r="D157" s="640"/>
      <c r="E157" s="118"/>
      <c r="F157" s="118"/>
      <c r="G157" s="118"/>
      <c r="H157" s="118"/>
      <c r="I157" s="118"/>
      <c r="J157" s="118"/>
      <c r="K157" s="118"/>
      <c r="L157" s="442"/>
      <c r="M157" s="443"/>
      <c r="N157" s="444"/>
      <c r="O157" s="444"/>
      <c r="P157" s="118"/>
      <c r="Q157" s="121"/>
      <c r="R157" s="121"/>
      <c r="S157" s="118"/>
      <c r="T157" s="123"/>
      <c r="U157" s="123"/>
      <c r="V157" s="123"/>
      <c r="W157" s="123"/>
      <c r="X157" s="123"/>
      <c r="Y157" s="123"/>
      <c r="Z157" s="123"/>
      <c r="AA157" s="123"/>
      <c r="AB157" s="123"/>
      <c r="AC157" s="124"/>
    </row>
    <row r="158" ht="15.75" customHeight="1">
      <c r="A158" s="641"/>
      <c r="B158" s="642"/>
      <c r="C158" s="642"/>
      <c r="D158" s="643"/>
      <c r="E158" s="642"/>
      <c r="F158" s="642"/>
      <c r="G158" s="642"/>
      <c r="H158" s="642"/>
      <c r="I158" s="642"/>
      <c r="J158" s="642"/>
      <c r="K158" s="642"/>
      <c r="L158" s="644"/>
      <c r="M158" s="645"/>
      <c r="N158" s="646"/>
      <c r="O158" s="646"/>
      <c r="P158" s="642"/>
      <c r="Q158" s="647"/>
      <c r="R158" s="647"/>
      <c r="S158" s="642"/>
      <c r="T158" s="648"/>
      <c r="U158" s="648"/>
      <c r="V158" s="648"/>
      <c r="W158" s="648"/>
      <c r="X158" s="648"/>
      <c r="Y158" s="648"/>
      <c r="Z158" s="648"/>
      <c r="AA158" s="648"/>
      <c r="AB158" s="648"/>
      <c r="AC158" s="649"/>
    </row>
  </sheetData>
  <mergeCells count="31">
    <mergeCell ref="C147:D147"/>
    <mergeCell ref="C146:D146"/>
    <mergeCell ref="C145:D145"/>
    <mergeCell ref="C149:D149"/>
    <mergeCell ref="C148:D148"/>
    <mergeCell ref="C144:D144"/>
    <mergeCell ref="B148:B149"/>
    <mergeCell ref="C143:D143"/>
    <mergeCell ref="B146:B147"/>
    <mergeCell ref="C142:D142"/>
    <mergeCell ref="J16:K16"/>
    <mergeCell ref="B142:B143"/>
    <mergeCell ref="C141:D141"/>
    <mergeCell ref="B144:B145"/>
    <mergeCell ref="C140:D140"/>
    <mergeCell ref="B23:E23"/>
    <mergeCell ref="I106:J106"/>
    <mergeCell ref="J8:K8"/>
    <mergeCell ref="J7:K7"/>
    <mergeCell ref="J4:K4"/>
    <mergeCell ref="E106:F106"/>
    <mergeCell ref="C20:F20"/>
    <mergeCell ref="M3:N3"/>
    <mergeCell ref="J3:K3"/>
    <mergeCell ref="G106:H106"/>
    <mergeCell ref="J2:K2"/>
    <mergeCell ref="J6:K6"/>
    <mergeCell ref="M5:N5"/>
    <mergeCell ref="A1:F2"/>
    <mergeCell ref="B140:B141"/>
    <mergeCell ref="J5:K5"/>
  </mergeCells>
  <pageMargins left="0.7" right="0.7" top="0.75" bottom="0.75" header="0.3" footer="0.3"/>
  <pageSetup firstPageNumber="1" fitToHeight="1" fitToWidth="1" scale="100" useFirstPageNumber="0" orientation="landscape" pageOrder="downThenOver"/>
  <headerFooter>
    <oddFooter>&amp;C&amp;"Helvetica Neue,Regular"&amp;12&amp;K000000&amp;P</oddFooter>
  </headerFooter>
  <drawing r:id="rId1"/>
  <legacyDrawing r:id="rId2"/>
</worksheet>
</file>

<file path=xl/worksheets/sheet3.xml><?xml version="1.0" encoding="utf-8"?>
<worksheet xmlns:r="http://schemas.openxmlformats.org/officeDocument/2006/relationships" xmlns="http://schemas.openxmlformats.org/spreadsheetml/2006/main">
  <dimension ref="A1:AH380"/>
  <sheetViews>
    <sheetView workbookViewId="0" showGridLines="0" defaultGridColor="1"/>
  </sheetViews>
  <sheetFormatPr defaultColWidth="8.83333" defaultRowHeight="12.75" customHeight="1" outlineLevelRow="0" outlineLevelCol="0"/>
  <cols>
    <col min="1" max="1" width="20.3516" style="650" customWidth="1"/>
    <col min="2" max="3" width="9.17188" style="650" customWidth="1"/>
    <col min="4" max="4" width="16" style="650" customWidth="1"/>
    <col min="5" max="5" width="18" style="650" customWidth="1"/>
    <col min="6" max="7" width="16.8516" style="650" customWidth="1"/>
    <col min="8" max="8" width="13" style="650" customWidth="1"/>
    <col min="9" max="34" width="9.17188" style="650" customWidth="1"/>
    <col min="35" max="256" width="8.85156" style="650" customWidth="1"/>
  </cols>
  <sheetData>
    <row r="1" ht="13.65" customHeight="1">
      <c r="A1" s="651"/>
      <c r="B1" s="652"/>
      <c r="C1" t="s" s="653">
        <v>255</v>
      </c>
      <c r="D1" t="s" s="654">
        <v>256</v>
      </c>
      <c r="E1" s="655"/>
      <c r="F1" s="655"/>
      <c r="G1" s="655"/>
      <c r="H1" s="655"/>
      <c r="I1" s="655"/>
      <c r="J1" s="655"/>
      <c r="K1" s="655"/>
      <c r="L1" s="655"/>
      <c r="M1" t="s" s="654">
        <v>195</v>
      </c>
      <c r="N1" s="655"/>
      <c r="O1" s="655"/>
      <c r="P1" s="655"/>
      <c r="Q1" s="655"/>
      <c r="R1" s="655"/>
      <c r="S1" s="655"/>
      <c r="T1" s="655"/>
      <c r="U1" s="655"/>
      <c r="V1" s="655"/>
      <c r="W1" s="655"/>
      <c r="X1" s="655"/>
      <c r="Y1" s="655"/>
      <c r="Z1" s="655"/>
      <c r="AA1" s="655"/>
      <c r="AB1" s="655"/>
      <c r="AC1" s="655"/>
      <c r="AD1" s="655"/>
      <c r="AE1" s="655"/>
      <c r="AF1" s="655"/>
      <c r="AG1" s="655"/>
      <c r="AH1" s="656"/>
    </row>
    <row r="2" ht="15" customHeight="1">
      <c r="A2" s="657"/>
      <c r="B2" s="658">
        <v>11</v>
      </c>
      <c r="C2" s="659">
        <v>0</v>
      </c>
      <c r="D2" t="s" s="660">
        <v>257</v>
      </c>
      <c r="E2" t="s" s="660">
        <v>258</v>
      </c>
      <c r="F2" s="661"/>
      <c r="G2" s="661"/>
      <c r="H2" s="662"/>
      <c r="I2" s="661"/>
      <c r="J2" s="661"/>
      <c r="K2" s="661"/>
      <c r="L2" s="658">
        <v>1</v>
      </c>
      <c r="M2" t="s" s="660">
        <v>259</v>
      </c>
      <c r="N2" t="s" s="660">
        <v>260</v>
      </c>
      <c r="O2" t="s" s="660">
        <v>261</v>
      </c>
      <c r="P2" t="s" s="660">
        <v>262</v>
      </c>
      <c r="Q2" t="s" s="660">
        <v>263</v>
      </c>
      <c r="R2" t="s" s="660">
        <v>264</v>
      </c>
      <c r="S2" s="661"/>
      <c r="T2" t="s" s="660">
        <v>203</v>
      </c>
      <c r="U2" s="661"/>
      <c r="V2" s="661"/>
      <c r="W2" s="661"/>
      <c r="X2" s="661"/>
      <c r="Y2" t="s" s="660">
        <v>265</v>
      </c>
      <c r="Z2" t="s" s="660">
        <v>266</v>
      </c>
      <c r="AA2" s="661"/>
      <c r="AB2" s="661"/>
      <c r="AC2" s="661"/>
      <c r="AD2" s="661"/>
      <c r="AE2" s="661"/>
      <c r="AF2" s="661"/>
      <c r="AG2" s="661"/>
      <c r="AH2" s="661"/>
    </row>
    <row r="3" ht="15" customHeight="1">
      <c r="A3" s="663"/>
      <c r="B3" s="664">
        <v>12</v>
      </c>
      <c r="C3" s="665">
        <v>4</v>
      </c>
      <c r="D3" t="s" s="666">
        <v>267</v>
      </c>
      <c r="E3" t="s" s="666">
        <v>258</v>
      </c>
      <c r="F3" t="s" s="666">
        <f>"Inject "&amp;'Planner Worksheet'!L20&amp;" (PG) to all females not detected in heat."</f>
        <v>268</v>
      </c>
      <c r="G3" s="663"/>
      <c r="H3" t="s" s="666">
        <f>IF('Planner Worksheet'!$G$16=TRUNC(B3/10),IF(I3="","",'Planner Worksheet'!$G$17+C3),"")</f>
      </c>
      <c r="I3" t="s" s="666">
        <f>"* "&amp;'Planner Worksheet'!L20&amp;" injection to females not already in heat &amp; bred"</f>
        <v>269</v>
      </c>
      <c r="J3" s="663"/>
      <c r="K3" s="663"/>
      <c r="L3" s="664">
        <v>2</v>
      </c>
      <c r="M3" t="s" s="666">
        <v>259</v>
      </c>
      <c r="N3" t="s" s="666">
        <v>260</v>
      </c>
      <c r="O3" t="s" s="666">
        <v>270</v>
      </c>
      <c r="P3" t="s" s="666">
        <v>262</v>
      </c>
      <c r="Q3" t="s" s="666">
        <v>263</v>
      </c>
      <c r="R3" s="663"/>
      <c r="S3" s="663"/>
      <c r="T3" t="s" s="666">
        <v>203</v>
      </c>
      <c r="U3" s="663"/>
      <c r="V3" s="663"/>
      <c r="W3" s="663"/>
      <c r="X3" s="663"/>
      <c r="Y3" t="s" s="666">
        <v>265</v>
      </c>
      <c r="Z3" t="s" s="666">
        <v>271</v>
      </c>
      <c r="AA3" s="663"/>
      <c r="AB3" s="663"/>
      <c r="AC3" s="663"/>
      <c r="AD3" s="663"/>
      <c r="AE3" s="663"/>
      <c r="AF3" s="663"/>
      <c r="AG3" s="663"/>
      <c r="AH3" s="663"/>
    </row>
    <row r="4" ht="15" customHeight="1">
      <c r="A4" s="663"/>
      <c r="B4" s="664">
        <v>13</v>
      </c>
      <c r="C4" s="665">
        <v>7</v>
      </c>
      <c r="D4" t="s" s="666">
        <v>272</v>
      </c>
      <c r="E4" t="s" s="666">
        <v>258</v>
      </c>
      <c r="F4" s="663"/>
      <c r="G4" s="663"/>
      <c r="H4" t="s" s="666">
        <f>IF('Planner Worksheet'!$G$16=TRUNC(B4/10),IF(I4="","",'Planner Worksheet'!$G$17+C4),"")</f>
      </c>
      <c r="I4" s="663"/>
      <c r="J4" s="663"/>
      <c r="K4" s="663"/>
      <c r="L4" s="664">
        <v>3</v>
      </c>
      <c r="M4" t="s" s="666">
        <v>259</v>
      </c>
      <c r="N4" t="s" s="666">
        <v>260</v>
      </c>
      <c r="O4" t="s" s="666">
        <v>273</v>
      </c>
      <c r="P4" t="s" s="666">
        <v>262</v>
      </c>
      <c r="Q4" t="s" s="666">
        <v>263</v>
      </c>
      <c r="R4" t="s" s="666">
        <v>274</v>
      </c>
      <c r="S4" s="663"/>
      <c r="T4" t="s" s="666">
        <v>203</v>
      </c>
      <c r="U4" s="663"/>
      <c r="V4" s="663"/>
      <c r="W4" s="663"/>
      <c r="X4" s="663"/>
      <c r="Y4" t="s" s="666">
        <v>265</v>
      </c>
      <c r="Z4" t="s" s="666">
        <v>266</v>
      </c>
      <c r="AA4" t="s" s="666">
        <v>275</v>
      </c>
      <c r="AB4" s="663"/>
      <c r="AC4" s="663"/>
      <c r="AD4" s="663"/>
      <c r="AE4" s="663"/>
      <c r="AF4" s="663"/>
      <c r="AG4" s="663"/>
      <c r="AH4" s="663"/>
    </row>
    <row r="5" ht="15" customHeight="1">
      <c r="A5" s="663"/>
      <c r="B5" s="664">
        <v>14</v>
      </c>
      <c r="C5" s="665">
        <v>11</v>
      </c>
      <c r="D5" t="s" s="666">
        <v>276</v>
      </c>
      <c r="E5" t="s" s="666">
        <v>277</v>
      </c>
      <c r="F5" s="663"/>
      <c r="G5" s="663"/>
      <c r="H5" s="667"/>
      <c r="I5" s="663"/>
      <c r="J5" s="663"/>
      <c r="K5" s="663"/>
      <c r="L5" s="664">
        <v>4</v>
      </c>
      <c r="M5" t="s" s="666">
        <v>278</v>
      </c>
      <c r="N5" t="s" s="666">
        <v>279</v>
      </c>
      <c r="O5" t="s" s="666">
        <v>260</v>
      </c>
      <c r="P5" t="s" s="666">
        <v>280</v>
      </c>
      <c r="Q5" t="s" s="666">
        <v>262</v>
      </c>
      <c r="R5" t="s" s="666">
        <v>263</v>
      </c>
      <c r="S5" s="663"/>
      <c r="T5" t="s" s="666">
        <v>203</v>
      </c>
      <c r="U5" s="663"/>
      <c r="V5" s="663"/>
      <c r="W5" s="663"/>
      <c r="X5" s="663"/>
      <c r="Y5" t="s" s="666">
        <v>265</v>
      </c>
      <c r="Z5" t="s" s="666">
        <v>281</v>
      </c>
      <c r="AA5" t="s" s="666">
        <v>282</v>
      </c>
      <c r="AB5" s="663"/>
      <c r="AC5" s="663"/>
      <c r="AD5" s="663"/>
      <c r="AE5" s="663"/>
      <c r="AF5" s="663"/>
      <c r="AG5" s="663"/>
      <c r="AH5" s="663"/>
    </row>
    <row r="6" ht="15" customHeight="1">
      <c r="A6" s="663"/>
      <c r="B6" s="664">
        <v>15</v>
      </c>
      <c r="C6" s="665">
        <f>'Planner Worksheet'!G21+C5</f>
        <v>11</v>
      </c>
      <c r="D6" t="s" s="666">
        <v>217</v>
      </c>
      <c r="E6" t="s" s="666">
        <v>203</v>
      </c>
      <c r="F6" s="663"/>
      <c r="G6" s="663"/>
      <c r="H6" t="s" s="666">
        <f>IF('Planner Worksheet'!$G$16=TRUNC(B6/10),IF(I6="","",'Planner Worksheet'!$G$17+C6),"")</f>
      </c>
      <c r="I6" t="s" s="666">
        <v>283</v>
      </c>
      <c r="J6" s="663"/>
      <c r="K6" s="663"/>
      <c r="L6" s="664">
        <v>5</v>
      </c>
      <c r="M6" t="s" s="666">
        <v>284</v>
      </c>
      <c r="N6" s="663"/>
      <c r="O6" s="663"/>
      <c r="P6" s="663"/>
      <c r="Q6" s="663"/>
      <c r="R6" s="663"/>
      <c r="S6" s="663"/>
      <c r="T6" t="s" s="666">
        <v>203</v>
      </c>
      <c r="U6" s="663"/>
      <c r="V6" s="663"/>
      <c r="W6" s="663"/>
      <c r="X6" s="663"/>
      <c r="Y6" t="s" s="666">
        <v>285</v>
      </c>
      <c r="Z6" t="s" s="666">
        <v>286</v>
      </c>
      <c r="AA6" t="s" s="666">
        <v>287</v>
      </c>
      <c r="AB6" t="s" s="666">
        <v>288</v>
      </c>
      <c r="AC6" s="663"/>
      <c r="AD6" s="663"/>
      <c r="AE6" s="663"/>
      <c r="AF6" s="663"/>
      <c r="AG6" s="663"/>
      <c r="AH6" s="663"/>
    </row>
    <row r="7" ht="15" customHeight="1">
      <c r="A7" s="663"/>
      <c r="B7" s="664">
        <v>16</v>
      </c>
      <c r="C7" s="665">
        <v>27</v>
      </c>
      <c r="D7" t="s" s="666">
        <v>218</v>
      </c>
      <c r="E7" s="663"/>
      <c r="F7" s="663"/>
      <c r="G7" s="663"/>
      <c r="H7" s="663">
        <f>23+H3</f>
      </c>
      <c r="I7" t="s" s="666">
        <v>289</v>
      </c>
      <c r="J7" s="663"/>
      <c r="K7" s="663"/>
      <c r="L7" s="664">
        <v>6</v>
      </c>
      <c r="M7" t="s" s="666">
        <v>290</v>
      </c>
      <c r="N7" t="s" s="666">
        <v>291</v>
      </c>
      <c r="O7" t="s" s="666">
        <v>292</v>
      </c>
      <c r="P7" t="s" s="666">
        <v>293</v>
      </c>
      <c r="Q7" t="s" s="666">
        <v>294</v>
      </c>
      <c r="R7" t="s" s="666">
        <v>295</v>
      </c>
      <c r="S7" t="s" s="666">
        <v>296</v>
      </c>
      <c r="T7" t="s" s="666">
        <v>203</v>
      </c>
      <c r="U7" s="663"/>
      <c r="V7" s="663"/>
      <c r="W7" s="663"/>
      <c r="X7" s="663"/>
      <c r="Y7" t="s" s="666">
        <v>285</v>
      </c>
      <c r="Z7" t="s" s="666">
        <v>286</v>
      </c>
      <c r="AA7" t="s" s="666">
        <v>297</v>
      </c>
      <c r="AB7" t="s" s="666">
        <v>288</v>
      </c>
      <c r="AC7" s="663"/>
      <c r="AD7" s="663"/>
      <c r="AE7" s="663"/>
      <c r="AF7" s="663"/>
      <c r="AG7" s="663"/>
      <c r="AH7" s="663"/>
    </row>
    <row r="8" ht="15" customHeight="1">
      <c r="A8" s="663"/>
      <c r="B8" s="664">
        <v>17</v>
      </c>
      <c r="C8" s="665"/>
      <c r="D8" s="663"/>
      <c r="E8" s="663"/>
      <c r="F8" s="663"/>
      <c r="G8" s="663"/>
      <c r="H8" s="667"/>
      <c r="I8" s="663"/>
      <c r="J8" s="663"/>
      <c r="K8" s="663"/>
      <c r="L8" s="664">
        <v>7</v>
      </c>
      <c r="M8" t="s" s="666">
        <v>298</v>
      </c>
      <c r="N8" t="s" s="666">
        <v>299</v>
      </c>
      <c r="O8" t="s" s="666">
        <v>300</v>
      </c>
      <c r="P8" s="663"/>
      <c r="Q8" s="663"/>
      <c r="R8" s="663"/>
      <c r="S8" s="663"/>
      <c r="T8" t="s" s="666">
        <v>203</v>
      </c>
      <c r="U8" s="663"/>
      <c r="V8" s="663"/>
      <c r="W8" s="663"/>
      <c r="X8" s="663"/>
      <c r="Y8" t="s" s="666">
        <v>301</v>
      </c>
      <c r="Z8" t="s" s="666">
        <v>302</v>
      </c>
      <c r="AA8" s="663"/>
      <c r="AB8" s="663"/>
      <c r="AC8" s="663"/>
      <c r="AD8" s="663"/>
      <c r="AE8" s="663"/>
      <c r="AF8" s="663"/>
      <c r="AG8" s="663"/>
      <c r="AH8" s="663"/>
    </row>
    <row r="9" ht="15" customHeight="1">
      <c r="A9" s="663"/>
      <c r="B9" s="664">
        <v>18</v>
      </c>
      <c r="C9" s="665"/>
      <c r="D9" s="663"/>
      <c r="E9" s="663"/>
      <c r="F9" s="663"/>
      <c r="G9" s="663"/>
      <c r="H9" s="667"/>
      <c r="I9" s="663"/>
      <c r="J9" s="663"/>
      <c r="K9" s="663"/>
      <c r="L9" s="664">
        <v>8</v>
      </c>
      <c r="M9" t="s" s="666">
        <v>291</v>
      </c>
      <c r="N9" t="s" s="666">
        <v>292</v>
      </c>
      <c r="O9" t="s" s="666">
        <v>303</v>
      </c>
      <c r="P9" t="s" s="666">
        <v>293</v>
      </c>
      <c r="Q9" t="s" s="666">
        <v>294</v>
      </c>
      <c r="R9" t="s" s="666">
        <v>295</v>
      </c>
      <c r="S9" s="663"/>
      <c r="T9" t="s" s="666">
        <v>203</v>
      </c>
      <c r="U9" s="663"/>
      <c r="V9" s="663"/>
      <c r="W9" s="663"/>
      <c r="X9" s="663"/>
      <c r="Y9" t="s" s="666">
        <v>304</v>
      </c>
      <c r="Z9" t="s" s="666">
        <v>286</v>
      </c>
      <c r="AA9" t="s" s="666">
        <v>297</v>
      </c>
      <c r="AB9" t="s" s="666">
        <v>288</v>
      </c>
      <c r="AC9" s="663"/>
      <c r="AD9" s="663"/>
      <c r="AE9" s="663"/>
      <c r="AF9" s="663"/>
      <c r="AG9" s="663"/>
      <c r="AH9" s="663"/>
    </row>
    <row r="10" ht="15" customHeight="1">
      <c r="A10" s="668"/>
      <c r="B10" s="669">
        <v>19</v>
      </c>
      <c r="C10" s="670"/>
      <c r="D10" s="668"/>
      <c r="E10" s="668"/>
      <c r="F10" s="668"/>
      <c r="G10" s="668"/>
      <c r="H10" s="671"/>
      <c r="I10" s="668"/>
      <c r="J10" s="668"/>
      <c r="K10" s="668"/>
      <c r="L10" s="664">
        <v>9</v>
      </c>
      <c r="M10" t="s" s="666">
        <v>291</v>
      </c>
      <c r="N10" t="s" s="666">
        <v>305</v>
      </c>
      <c r="O10" t="s" s="666">
        <v>306</v>
      </c>
      <c r="P10" t="s" s="666">
        <v>307</v>
      </c>
      <c r="Q10" t="s" s="666">
        <v>293</v>
      </c>
      <c r="R10" t="s" s="666">
        <v>294</v>
      </c>
      <c r="S10" t="s" s="666">
        <v>295</v>
      </c>
      <c r="T10" t="s" s="666">
        <v>203</v>
      </c>
      <c r="U10" s="663"/>
      <c r="V10" s="663"/>
      <c r="W10" s="663"/>
      <c r="X10" s="663"/>
      <c r="Y10" t="s" s="666">
        <v>304</v>
      </c>
      <c r="Z10" t="s" s="666">
        <v>286</v>
      </c>
      <c r="AA10" t="s" s="666">
        <v>297</v>
      </c>
      <c r="AB10" t="s" s="666">
        <v>288</v>
      </c>
      <c r="AC10" s="663"/>
      <c r="AD10" s="663"/>
      <c r="AE10" s="663"/>
      <c r="AF10" s="663"/>
      <c r="AG10" s="663"/>
      <c r="AH10" s="663"/>
    </row>
    <row r="11" ht="15" customHeight="1">
      <c r="A11" s="672"/>
      <c r="B11" s="673">
        <v>21</v>
      </c>
      <c r="C11" s="674">
        <v>0</v>
      </c>
      <c r="D11" t="s" s="675">
        <v>257</v>
      </c>
      <c r="E11" t="s" s="675">
        <v>258</v>
      </c>
      <c r="F11" t="s" s="675">
        <f>"Inject "&amp;'Planner Worksheet'!L20&amp;" (PG) to all females not detected in heat."</f>
        <v>268</v>
      </c>
      <c r="G11" s="676"/>
      <c r="H11" t="s" s="675">
        <f>IF('Planner Worksheet'!$G$16=TRUNC(B11/10),IF(I11="","",'Planner Worksheet'!$G$17+C11),"")</f>
      </c>
      <c r="I11" t="s" s="675">
        <f>"* "&amp;'Planner Worksheet'!L20&amp;" injection to females not already in heat &amp; bred"</f>
        <v>269</v>
      </c>
      <c r="J11" s="676"/>
      <c r="K11" s="676"/>
      <c r="L11" s="664">
        <v>10</v>
      </c>
      <c r="M11" t="s" s="666">
        <v>308</v>
      </c>
      <c r="N11" t="s" s="666">
        <v>309</v>
      </c>
      <c r="O11" t="s" s="666">
        <v>310</v>
      </c>
      <c r="P11" s="663"/>
      <c r="Q11" s="663"/>
      <c r="R11" s="663"/>
      <c r="S11" s="663"/>
      <c r="T11" t="s" s="666">
        <v>203</v>
      </c>
      <c r="U11" s="663"/>
      <c r="V11" s="663"/>
      <c r="W11" s="663"/>
      <c r="X11" s="663"/>
      <c r="Y11" t="s" s="666">
        <v>301</v>
      </c>
      <c r="Z11" t="s" s="666">
        <v>265</v>
      </c>
      <c r="AA11" t="s" s="666">
        <v>302</v>
      </c>
      <c r="AB11" t="s" s="666">
        <v>311</v>
      </c>
      <c r="AC11" s="663"/>
      <c r="AD11" s="663"/>
      <c r="AE11" s="663"/>
      <c r="AF11" s="663"/>
      <c r="AG11" s="663"/>
      <c r="AH11" s="663"/>
    </row>
    <row r="12" ht="15" customHeight="1">
      <c r="A12" s="663"/>
      <c r="B12" s="664">
        <v>22</v>
      </c>
      <c r="C12" s="665">
        <v>2</v>
      </c>
      <c r="D12" t="s" s="666">
        <v>272</v>
      </c>
      <c r="E12" t="s" s="666">
        <v>258</v>
      </c>
      <c r="F12" s="663"/>
      <c r="G12" s="663"/>
      <c r="H12" t="s" s="666">
        <f>IF('Planner Worksheet'!$G$16=TRUNC(B12/10),IF(I12="","",'Planner Worksheet'!$G$17+C12),"")</f>
      </c>
      <c r="I12" s="663"/>
      <c r="J12" s="663"/>
      <c r="K12" s="663"/>
      <c r="L12" s="664">
        <v>11</v>
      </c>
      <c r="M12" t="s" s="666">
        <v>312</v>
      </c>
      <c r="N12" s="663"/>
      <c r="O12" s="663"/>
      <c r="P12" s="663"/>
      <c r="Q12" s="663"/>
      <c r="R12" s="663"/>
      <c r="S12" s="663"/>
      <c r="T12" t="s" s="666">
        <v>203</v>
      </c>
      <c r="U12" s="663"/>
      <c r="V12" s="663"/>
      <c r="W12" s="663"/>
      <c r="X12" s="663"/>
      <c r="Y12" t="s" s="666">
        <v>301</v>
      </c>
      <c r="Z12" t="s" s="666">
        <v>265</v>
      </c>
      <c r="AA12" t="s" s="666">
        <v>302</v>
      </c>
      <c r="AB12" t="s" s="666">
        <v>313</v>
      </c>
      <c r="AC12" t="s" s="666">
        <v>314</v>
      </c>
      <c r="AD12" t="s" s="666">
        <v>315</v>
      </c>
      <c r="AE12" s="663"/>
      <c r="AF12" s="663"/>
      <c r="AG12" s="663"/>
      <c r="AH12" s="663"/>
    </row>
    <row r="13" ht="15" customHeight="1">
      <c r="A13" s="663"/>
      <c r="B13" s="664">
        <v>23</v>
      </c>
      <c r="C13" s="665">
        <v>5</v>
      </c>
      <c r="D13" t="s" s="666">
        <v>276</v>
      </c>
      <c r="E13" t="s" s="666">
        <v>277</v>
      </c>
      <c r="F13" s="663"/>
      <c r="G13" s="663"/>
      <c r="H13" s="667"/>
      <c r="I13" s="663"/>
      <c r="J13" s="663"/>
      <c r="K13" s="663"/>
      <c r="L13" s="664">
        <v>12</v>
      </c>
      <c r="M13" t="s" s="666">
        <v>316</v>
      </c>
      <c r="N13" t="s" s="666">
        <v>317</v>
      </c>
      <c r="O13" t="s" s="666">
        <v>318</v>
      </c>
      <c r="P13" t="s" s="666">
        <v>293</v>
      </c>
      <c r="Q13" t="s" s="666">
        <v>294</v>
      </c>
      <c r="R13" t="s" s="666">
        <v>295</v>
      </c>
      <c r="S13" s="663"/>
      <c r="T13" t="s" s="666">
        <v>203</v>
      </c>
      <c r="U13" s="663"/>
      <c r="V13" s="663"/>
      <c r="W13" s="663"/>
      <c r="X13" s="663"/>
      <c r="Y13" t="s" s="666">
        <v>319</v>
      </c>
      <c r="Z13" t="s" s="666">
        <v>286</v>
      </c>
      <c r="AA13" t="s" s="666">
        <v>297</v>
      </c>
      <c r="AB13" t="s" s="666">
        <v>288</v>
      </c>
      <c r="AC13" s="663"/>
      <c r="AD13" s="663"/>
      <c r="AE13" s="663"/>
      <c r="AF13" s="663"/>
      <c r="AG13" s="663"/>
      <c r="AH13" s="663"/>
    </row>
    <row r="14" ht="15" customHeight="1">
      <c r="A14" s="663"/>
      <c r="B14" s="664">
        <v>24</v>
      </c>
      <c r="C14" s="665">
        <f>'Planner Worksheet'!G21+C13</f>
        <v>5</v>
      </c>
      <c r="D14" t="s" s="666">
        <v>217</v>
      </c>
      <c r="E14" t="s" s="666">
        <v>203</v>
      </c>
      <c r="F14" s="663"/>
      <c r="G14" s="663"/>
      <c r="H14" t="s" s="666">
        <f>IF('Planner Worksheet'!$G$16=TRUNC(B13/10),IF(I14="","",'Planner Worksheet'!$G$17+C14),"")</f>
      </c>
      <c r="I14" t="s" s="666">
        <v>283</v>
      </c>
      <c r="J14" s="663"/>
      <c r="K14" s="663"/>
      <c r="L14" s="664">
        <v>13</v>
      </c>
      <c r="M14" t="s" s="666">
        <v>320</v>
      </c>
      <c r="N14" t="s" s="666">
        <v>321</v>
      </c>
      <c r="O14" t="s" s="666">
        <v>310</v>
      </c>
      <c r="P14" t="s" s="666">
        <v>309</v>
      </c>
      <c r="Q14" s="663"/>
      <c r="R14" s="663"/>
      <c r="S14" s="663"/>
      <c r="T14" t="s" s="666">
        <v>203</v>
      </c>
      <c r="U14" s="663"/>
      <c r="V14" s="663"/>
      <c r="W14" s="663"/>
      <c r="X14" s="663"/>
      <c r="Y14" t="s" s="666">
        <v>301</v>
      </c>
      <c r="Z14" t="s" s="666">
        <v>302</v>
      </c>
      <c r="AA14" t="s" s="666">
        <v>311</v>
      </c>
      <c r="AB14" s="663"/>
      <c r="AC14" s="663"/>
      <c r="AD14" s="663"/>
      <c r="AE14" s="663"/>
      <c r="AF14" s="663"/>
      <c r="AG14" s="663"/>
      <c r="AH14" s="663"/>
    </row>
    <row r="15" ht="15" customHeight="1">
      <c r="A15" s="663"/>
      <c r="B15" s="664">
        <v>25</v>
      </c>
      <c r="C15" s="665">
        <v>23</v>
      </c>
      <c r="D15" t="s" s="666">
        <v>218</v>
      </c>
      <c r="E15" s="663"/>
      <c r="F15" s="663"/>
      <c r="G15" s="663"/>
      <c r="H15" s="663">
        <f>H11+23</f>
      </c>
      <c r="I15" t="s" s="666">
        <v>289</v>
      </c>
      <c r="J15" s="663"/>
      <c r="K15" s="663"/>
      <c r="L15" s="664">
        <v>14</v>
      </c>
      <c r="M15" t="s" s="666">
        <v>322</v>
      </c>
      <c r="N15" t="s" s="666">
        <v>323</v>
      </c>
      <c r="O15" t="s" s="666">
        <v>324</v>
      </c>
      <c r="P15" t="s" s="666">
        <v>325</v>
      </c>
      <c r="Q15" t="s" s="666">
        <v>200</v>
      </c>
      <c r="R15" t="s" s="666">
        <v>201</v>
      </c>
      <c r="S15" s="663"/>
      <c r="T15" t="s" s="666">
        <v>203</v>
      </c>
      <c r="U15" s="663"/>
      <c r="V15" s="663"/>
      <c r="W15" s="663"/>
      <c r="X15" s="663"/>
      <c r="Y15" t="s" s="666">
        <v>302</v>
      </c>
      <c r="Z15" s="663"/>
      <c r="AA15" s="663"/>
      <c r="AB15" s="663"/>
      <c r="AC15" s="663"/>
      <c r="AD15" s="663"/>
      <c r="AE15" s="663"/>
      <c r="AF15" s="663"/>
      <c r="AG15" s="663"/>
      <c r="AH15" s="663"/>
    </row>
    <row r="16" ht="15" customHeight="1">
      <c r="A16" s="663"/>
      <c r="B16" s="664">
        <v>26</v>
      </c>
      <c r="C16" s="665"/>
      <c r="D16" s="663"/>
      <c r="E16" s="663"/>
      <c r="F16" s="663"/>
      <c r="G16" s="663"/>
      <c r="H16" s="667"/>
      <c r="I16" s="663"/>
      <c r="J16" s="663"/>
      <c r="K16" s="663"/>
      <c r="L16" s="664">
        <v>15</v>
      </c>
      <c r="M16" t="s" s="666">
        <v>322</v>
      </c>
      <c r="N16" t="s" s="666">
        <v>323</v>
      </c>
      <c r="O16" t="s" s="666">
        <v>324</v>
      </c>
      <c r="P16" t="s" s="666">
        <v>325</v>
      </c>
      <c r="Q16" t="s" s="666">
        <v>200</v>
      </c>
      <c r="R16" t="s" s="666">
        <v>201</v>
      </c>
      <c r="S16" s="663"/>
      <c r="T16" t="s" s="666">
        <v>203</v>
      </c>
      <c r="U16" s="663"/>
      <c r="V16" s="663"/>
      <c r="W16" s="663"/>
      <c r="X16" s="663"/>
      <c r="Y16" t="s" s="666">
        <v>302</v>
      </c>
      <c r="Z16" s="663"/>
      <c r="AA16" s="663"/>
      <c r="AB16" s="663"/>
      <c r="AC16" s="663"/>
      <c r="AD16" s="663"/>
      <c r="AE16" s="663"/>
      <c r="AF16" s="663"/>
      <c r="AG16" s="663"/>
      <c r="AH16" s="663"/>
    </row>
    <row r="17" ht="15" customHeight="1">
      <c r="A17" s="663"/>
      <c r="B17" s="664">
        <v>27</v>
      </c>
      <c r="C17" s="665"/>
      <c r="D17" s="663"/>
      <c r="E17" s="663"/>
      <c r="F17" s="663"/>
      <c r="G17" s="663"/>
      <c r="H17" s="667"/>
      <c r="I17" s="663"/>
      <c r="J17" s="663"/>
      <c r="K17" s="663"/>
      <c r="L17" s="664">
        <v>16</v>
      </c>
      <c r="M17" t="s" s="666">
        <v>326</v>
      </c>
      <c r="N17" t="s" s="666">
        <v>327</v>
      </c>
      <c r="O17" t="s" s="666">
        <v>328</v>
      </c>
      <c r="P17" t="s" s="666">
        <v>324</v>
      </c>
      <c r="Q17" t="s" s="666">
        <v>200</v>
      </c>
      <c r="R17" t="s" s="666">
        <v>201</v>
      </c>
      <c r="S17" t="s" s="666">
        <v>329</v>
      </c>
      <c r="T17" t="s" s="666">
        <v>203</v>
      </c>
      <c r="U17" s="663"/>
      <c r="V17" s="663"/>
      <c r="W17" s="663"/>
      <c r="X17" s="663"/>
      <c r="Y17" t="s" s="666">
        <v>302</v>
      </c>
      <c r="Z17" s="663"/>
      <c r="AA17" s="663"/>
      <c r="AB17" s="663"/>
      <c r="AC17" s="663"/>
      <c r="AD17" s="663"/>
      <c r="AE17" s="663"/>
      <c r="AF17" s="663"/>
      <c r="AG17" s="663"/>
      <c r="AH17" s="663"/>
    </row>
    <row r="18" ht="15" customHeight="1">
      <c r="A18" s="663"/>
      <c r="B18" s="664">
        <v>28</v>
      </c>
      <c r="C18" s="665"/>
      <c r="D18" s="663"/>
      <c r="E18" s="663"/>
      <c r="F18" s="663"/>
      <c r="G18" s="663"/>
      <c r="H18" s="667"/>
      <c r="I18" s="663"/>
      <c r="J18" s="663"/>
      <c r="K18" s="663"/>
      <c r="L18" s="664">
        <v>17</v>
      </c>
      <c r="M18" t="s" s="666">
        <v>330</v>
      </c>
      <c r="N18" t="s" s="666">
        <v>331</v>
      </c>
      <c r="O18" t="s" s="666">
        <v>293</v>
      </c>
      <c r="P18" t="s" s="666">
        <v>294</v>
      </c>
      <c r="Q18" t="s" s="666">
        <v>295</v>
      </c>
      <c r="R18" s="663"/>
      <c r="S18" s="663"/>
      <c r="T18" t="s" s="666">
        <v>203</v>
      </c>
      <c r="U18" s="663"/>
      <c r="V18" s="663"/>
      <c r="W18" s="663"/>
      <c r="X18" s="663"/>
      <c r="Y18" t="s" s="666">
        <v>304</v>
      </c>
      <c r="Z18" t="s" s="666">
        <v>286</v>
      </c>
      <c r="AA18" t="s" s="666">
        <v>297</v>
      </c>
      <c r="AB18" t="s" s="666">
        <v>288</v>
      </c>
      <c r="AC18" s="663"/>
      <c r="AD18" s="663"/>
      <c r="AE18" s="663"/>
      <c r="AF18" s="663"/>
      <c r="AG18" s="663"/>
      <c r="AH18" s="663"/>
    </row>
    <row r="19" ht="15" customHeight="1">
      <c r="A19" s="668"/>
      <c r="B19" s="669">
        <v>29</v>
      </c>
      <c r="C19" s="670"/>
      <c r="D19" s="668"/>
      <c r="E19" s="668"/>
      <c r="F19" s="668"/>
      <c r="G19" s="668"/>
      <c r="H19" s="671"/>
      <c r="I19" s="668"/>
      <c r="J19" s="668"/>
      <c r="K19" s="668"/>
      <c r="L19" s="664">
        <v>18</v>
      </c>
      <c r="M19" t="s" s="666">
        <v>332</v>
      </c>
      <c r="N19" t="s" s="666">
        <v>333</v>
      </c>
      <c r="O19" t="s" s="666">
        <v>293</v>
      </c>
      <c r="P19" t="s" s="666">
        <v>294</v>
      </c>
      <c r="Q19" t="s" s="666">
        <v>295</v>
      </c>
      <c r="R19" s="663"/>
      <c r="S19" s="663"/>
      <c r="T19" t="s" s="666">
        <v>203</v>
      </c>
      <c r="U19" s="663"/>
      <c r="V19" s="663"/>
      <c r="W19" s="663"/>
      <c r="X19" s="663"/>
      <c r="Y19" t="s" s="666">
        <v>319</v>
      </c>
      <c r="Z19" t="s" s="666">
        <v>286</v>
      </c>
      <c r="AA19" t="s" s="666">
        <v>297</v>
      </c>
      <c r="AB19" t="s" s="666">
        <v>288</v>
      </c>
      <c r="AC19" s="663"/>
      <c r="AD19" s="663"/>
      <c r="AE19" s="663"/>
      <c r="AF19" s="663"/>
      <c r="AG19" s="663"/>
      <c r="AH19" s="663"/>
    </row>
    <row r="20" ht="15" customHeight="1">
      <c r="A20" s="677"/>
      <c r="B20" s="673">
        <v>31</v>
      </c>
      <c r="C20" s="674">
        <v>-14</v>
      </c>
      <c r="D20" t="s" s="675">
        <f>"Inject "&amp;'Planner Worksheet'!L20&amp;" (PG) to all females."</f>
        <v>334</v>
      </c>
      <c r="E20" s="676"/>
      <c r="F20" s="676"/>
      <c r="G20" s="676"/>
      <c r="H20" t="s" s="675">
        <f>IF('Planner Worksheet'!$G$16=TRUNC(B20/10),IF(I20="","",'Planner Worksheet'!$G$17+C20),"")</f>
      </c>
      <c r="I20" t="s" s="675">
        <f>"* Inject "&amp;'Planner Worksheet'!L20&amp;"- all females"</f>
        <v>335</v>
      </c>
      <c r="J20" s="676"/>
      <c r="K20" s="676"/>
      <c r="L20" s="664">
        <v>19</v>
      </c>
      <c r="M20" t="s" s="666">
        <v>336</v>
      </c>
      <c r="N20" t="s" s="666">
        <v>299</v>
      </c>
      <c r="O20" t="s" s="666">
        <v>328</v>
      </c>
      <c r="P20" t="s" s="666">
        <v>337</v>
      </c>
      <c r="Q20" s="663"/>
      <c r="R20" s="663"/>
      <c r="S20" s="663"/>
      <c r="T20" t="s" s="666">
        <v>203</v>
      </c>
      <c r="U20" s="663"/>
      <c r="V20" s="663"/>
      <c r="W20" s="663"/>
      <c r="X20" s="663"/>
      <c r="Y20" t="s" s="666">
        <v>301</v>
      </c>
      <c r="Z20" t="s" s="666">
        <v>302</v>
      </c>
      <c r="AA20" s="663"/>
      <c r="AB20" s="663"/>
      <c r="AC20" s="663"/>
      <c r="AD20" s="663"/>
      <c r="AE20" s="663"/>
      <c r="AF20" s="663"/>
      <c r="AG20" s="663"/>
      <c r="AH20" s="663"/>
    </row>
    <row r="21" ht="15" customHeight="1">
      <c r="A21" s="678"/>
      <c r="B21" s="664">
        <v>32</v>
      </c>
      <c r="C21" s="665">
        <v>0</v>
      </c>
      <c r="D21" t="s" s="666">
        <f>"Inject "&amp;'Planner Worksheet'!L20&amp;" (PG) to all females."</f>
        <v>334</v>
      </c>
      <c r="E21" t="s" s="666">
        <v>257</v>
      </c>
      <c r="F21" s="663"/>
      <c r="G21" s="663"/>
      <c r="H21" t="s" s="666">
        <f>IF('Planner Worksheet'!$G$16=TRUNC(B21/10),IF(I21="","",'Planner Worksheet'!$G$17+C21),"")</f>
      </c>
      <c r="I21" t="s" s="666">
        <f>"* Inject "&amp;'Planner Worksheet'!L20&amp;"- all females"</f>
        <v>335</v>
      </c>
      <c r="J21" s="663"/>
      <c r="K21" s="663"/>
      <c r="L21" s="664">
        <v>20</v>
      </c>
      <c r="M21" t="s" s="666">
        <v>316</v>
      </c>
      <c r="N21" t="s" s="666">
        <v>317</v>
      </c>
      <c r="O21" t="s" s="666">
        <v>338</v>
      </c>
      <c r="P21" t="s" s="666">
        <v>339</v>
      </c>
      <c r="Q21" t="s" s="666">
        <v>293</v>
      </c>
      <c r="R21" t="s" s="666">
        <v>294</v>
      </c>
      <c r="S21" t="s" s="666">
        <v>295</v>
      </c>
      <c r="T21" t="s" s="666">
        <v>203</v>
      </c>
      <c r="U21" s="663"/>
      <c r="V21" s="663"/>
      <c r="W21" s="663"/>
      <c r="X21" s="663"/>
      <c r="Y21" t="s" s="666">
        <v>319</v>
      </c>
      <c r="Z21" t="s" s="666">
        <v>286</v>
      </c>
      <c r="AA21" t="s" s="666">
        <v>297</v>
      </c>
      <c r="AB21" t="s" s="666">
        <v>288</v>
      </c>
      <c r="AC21" s="663"/>
      <c r="AD21" s="663"/>
      <c r="AE21" s="663"/>
      <c r="AF21" s="663"/>
      <c r="AG21" s="663"/>
      <c r="AH21" s="663"/>
    </row>
    <row r="22" ht="15" customHeight="1">
      <c r="A22" s="678"/>
      <c r="B22" s="664">
        <v>33</v>
      </c>
      <c r="C22" s="665">
        <v>1</v>
      </c>
      <c r="D22" t="s" s="666">
        <v>272</v>
      </c>
      <c r="E22" t="s" s="666">
        <v>258</v>
      </c>
      <c r="F22" s="663"/>
      <c r="G22" s="663"/>
      <c r="H22" s="667"/>
      <c r="I22" s="663"/>
      <c r="J22" s="663"/>
      <c r="K22" s="663"/>
      <c r="L22" s="664">
        <v>21</v>
      </c>
      <c r="M22" s="663"/>
      <c r="N22" s="663"/>
      <c r="O22" s="663"/>
      <c r="P22" s="663"/>
      <c r="Q22" s="663"/>
      <c r="R22" s="663"/>
      <c r="S22" s="663"/>
      <c r="T22" t="s" s="666">
        <v>203</v>
      </c>
      <c r="U22" s="663"/>
      <c r="V22" s="663"/>
      <c r="W22" s="663"/>
      <c r="X22" s="663"/>
      <c r="Y22" t="s" s="666">
        <v>301</v>
      </c>
      <c r="Z22" t="s" s="666">
        <v>265</v>
      </c>
      <c r="AA22" t="s" s="666">
        <v>302</v>
      </c>
      <c r="AB22" s="663"/>
      <c r="AC22" s="663"/>
      <c r="AD22" s="663"/>
      <c r="AE22" s="663"/>
      <c r="AF22" s="663"/>
      <c r="AG22" s="663"/>
      <c r="AH22" s="663"/>
    </row>
    <row r="23" ht="15" customHeight="1">
      <c r="A23" s="678"/>
      <c r="B23" s="664">
        <v>34</v>
      </c>
      <c r="C23" s="665">
        <v>2</v>
      </c>
      <c r="D23" t="s" s="666">
        <v>272</v>
      </c>
      <c r="E23" t="s" s="666">
        <v>258</v>
      </c>
      <c r="F23" s="663"/>
      <c r="G23" s="663"/>
      <c r="H23" t="s" s="666">
        <f>IF('Planner Worksheet'!$G$16=TRUNC(B23/10),IF(I23="","",'Planner Worksheet'!$G$17+C23),"")</f>
      </c>
      <c r="I23" s="663"/>
      <c r="J23" s="663"/>
      <c r="K23" s="663"/>
      <c r="L23" s="664">
        <v>22</v>
      </c>
      <c r="M23" t="s" s="666">
        <v>340</v>
      </c>
      <c r="N23" t="s" s="666">
        <v>341</v>
      </c>
      <c r="O23" t="s" s="666">
        <v>342</v>
      </c>
      <c r="P23" t="s" s="666">
        <v>199</v>
      </c>
      <c r="Q23" t="s" s="666">
        <v>200</v>
      </c>
      <c r="R23" t="s" s="666">
        <v>201</v>
      </c>
      <c r="S23" s="663"/>
      <c r="T23" t="s" s="666">
        <v>203</v>
      </c>
      <c r="U23" s="663"/>
      <c r="V23" s="663"/>
      <c r="W23" s="663"/>
      <c r="X23" s="663"/>
      <c r="Y23" s="663"/>
      <c r="Z23" t="s" s="666">
        <v>265</v>
      </c>
      <c r="AA23" t="s" s="666">
        <v>302</v>
      </c>
      <c r="AB23" s="663"/>
      <c r="AC23" s="663"/>
      <c r="AD23" s="663"/>
      <c r="AE23" s="663"/>
      <c r="AF23" s="663"/>
      <c r="AG23" s="663"/>
      <c r="AH23" s="663"/>
    </row>
    <row r="24" ht="15" customHeight="1">
      <c r="A24" s="678"/>
      <c r="B24" s="664">
        <v>35</v>
      </c>
      <c r="C24" s="665">
        <v>5</v>
      </c>
      <c r="D24" t="s" s="666">
        <v>276</v>
      </c>
      <c r="E24" t="s" s="666">
        <v>277</v>
      </c>
      <c r="F24" s="663"/>
      <c r="G24" s="663"/>
      <c r="H24" s="667"/>
      <c r="I24" s="663"/>
      <c r="J24" s="663"/>
      <c r="K24" s="663"/>
      <c r="L24" s="664">
        <v>23</v>
      </c>
      <c r="M24" t="s" s="666">
        <v>343</v>
      </c>
      <c r="N24" t="s" s="666">
        <v>344</v>
      </c>
      <c r="O24" t="s" s="666">
        <v>345</v>
      </c>
      <c r="P24" t="s" s="666">
        <v>199</v>
      </c>
      <c r="Q24" t="s" s="666">
        <v>200</v>
      </c>
      <c r="R24" t="s" s="666">
        <v>329</v>
      </c>
      <c r="S24" s="663"/>
      <c r="T24" t="s" s="666">
        <v>203</v>
      </c>
      <c r="U24" s="663"/>
      <c r="V24" s="663"/>
      <c r="W24" s="663"/>
      <c r="X24" s="663"/>
      <c r="Y24" s="663"/>
      <c r="Z24" s="663"/>
      <c r="AA24" s="663"/>
      <c r="AB24" s="663"/>
      <c r="AC24" s="663"/>
      <c r="AD24" s="663"/>
      <c r="AE24" s="663"/>
      <c r="AF24" s="663"/>
      <c r="AG24" s="663"/>
      <c r="AH24" s="663"/>
    </row>
    <row r="25" ht="15" customHeight="1">
      <c r="A25" s="663"/>
      <c r="B25" s="664">
        <v>36</v>
      </c>
      <c r="C25" s="665">
        <f>'Planner Worksheet'!G21+C24</f>
        <v>5</v>
      </c>
      <c r="D25" t="s" s="666">
        <v>217</v>
      </c>
      <c r="E25" t="s" s="666">
        <v>203</v>
      </c>
      <c r="F25" s="663"/>
      <c r="G25" s="663"/>
      <c r="H25" t="s" s="666">
        <f>IF('Planner Worksheet'!$G$16=TRUNC(B25/10),IF(I25="","",'Planner Worksheet'!$G$17+C25),"")</f>
      </c>
      <c r="I25" t="s" s="666">
        <v>283</v>
      </c>
      <c r="J25" s="663"/>
      <c r="K25" s="663"/>
      <c r="L25" s="664">
        <v>24</v>
      </c>
      <c r="M25" t="s" s="666">
        <v>346</v>
      </c>
      <c r="N25" t="s" s="666">
        <v>327</v>
      </c>
      <c r="O25" t="s" s="666">
        <v>328</v>
      </c>
      <c r="P25" t="s" s="666">
        <v>324</v>
      </c>
      <c r="Q25" t="s" s="666">
        <v>200</v>
      </c>
      <c r="R25" t="s" s="666">
        <v>201</v>
      </c>
      <c r="S25" s="663"/>
      <c r="T25" t="s" s="666">
        <v>203</v>
      </c>
      <c r="U25" s="663"/>
      <c r="V25" s="663"/>
      <c r="W25" s="663"/>
      <c r="X25" s="663"/>
      <c r="Y25" s="663"/>
      <c r="Z25" s="663"/>
      <c r="AA25" s="663"/>
      <c r="AB25" s="663"/>
      <c r="AC25" s="663"/>
      <c r="AD25" s="663"/>
      <c r="AE25" s="663"/>
      <c r="AF25" s="663"/>
      <c r="AG25" s="663"/>
      <c r="AH25" s="663"/>
    </row>
    <row r="26" ht="15" customHeight="1">
      <c r="A26" s="663"/>
      <c r="B26" s="664">
        <v>37</v>
      </c>
      <c r="C26" s="665"/>
      <c r="D26" t="s" s="666">
        <v>218</v>
      </c>
      <c r="E26" s="663"/>
      <c r="F26" s="663"/>
      <c r="G26" s="663"/>
      <c r="H26" s="663">
        <f>23+H21</f>
      </c>
      <c r="I26" t="s" s="666">
        <v>289</v>
      </c>
      <c r="J26" s="663"/>
      <c r="K26" s="663"/>
      <c r="L26" s="664">
        <v>25</v>
      </c>
      <c r="M26" t="s" s="666">
        <v>327</v>
      </c>
      <c r="N26" t="s" s="666">
        <v>328</v>
      </c>
      <c r="O26" t="s" s="666">
        <v>324</v>
      </c>
      <c r="P26" t="s" s="666">
        <v>200</v>
      </c>
      <c r="Q26" t="s" s="666">
        <v>201</v>
      </c>
      <c r="R26" s="663"/>
      <c r="S26" s="663"/>
      <c r="T26" t="s" s="666">
        <v>203</v>
      </c>
      <c r="U26" s="663"/>
      <c r="V26" s="663"/>
      <c r="W26" s="663"/>
      <c r="X26" s="663"/>
      <c r="Y26" s="663"/>
      <c r="Z26" s="663"/>
      <c r="AA26" s="663"/>
      <c r="AB26" s="663"/>
      <c r="AC26" s="663"/>
      <c r="AD26" s="663"/>
      <c r="AE26" s="663"/>
      <c r="AF26" s="663"/>
      <c r="AG26" s="663"/>
      <c r="AH26" s="663"/>
    </row>
    <row r="27" ht="15" customHeight="1">
      <c r="A27" s="663"/>
      <c r="B27" s="664">
        <v>38</v>
      </c>
      <c r="C27" s="665"/>
      <c r="D27" s="663"/>
      <c r="E27" s="663"/>
      <c r="F27" s="663"/>
      <c r="G27" s="663"/>
      <c r="H27" s="667"/>
      <c r="I27" s="663"/>
      <c r="J27" s="663"/>
      <c r="K27" s="663"/>
      <c r="L27" s="664">
        <v>26</v>
      </c>
      <c r="M27" t="s" s="666">
        <v>291</v>
      </c>
      <c r="N27" t="s" s="666">
        <v>347</v>
      </c>
      <c r="O27" t="s" s="666">
        <v>348</v>
      </c>
      <c r="P27" t="s" s="666">
        <v>293</v>
      </c>
      <c r="Q27" t="s" s="666">
        <v>294</v>
      </c>
      <c r="R27" t="s" s="666">
        <v>295</v>
      </c>
      <c r="S27" s="663"/>
      <c r="T27" t="s" s="666">
        <v>203</v>
      </c>
      <c r="U27" s="663"/>
      <c r="V27" s="663"/>
      <c r="W27" s="663"/>
      <c r="X27" s="663"/>
      <c r="Y27" s="663"/>
      <c r="Z27" s="663"/>
      <c r="AA27" s="663"/>
      <c r="AB27" s="663"/>
      <c r="AC27" s="663"/>
      <c r="AD27" s="663"/>
      <c r="AE27" s="663"/>
      <c r="AF27" s="663"/>
      <c r="AG27" s="663"/>
      <c r="AH27" s="663"/>
    </row>
    <row r="28" ht="15" customHeight="1">
      <c r="A28" s="679"/>
      <c r="B28" s="669">
        <v>39</v>
      </c>
      <c r="C28" s="670"/>
      <c r="D28" s="668"/>
      <c r="E28" s="668"/>
      <c r="F28" s="668"/>
      <c r="G28" s="668"/>
      <c r="H28" s="671"/>
      <c r="I28" s="668"/>
      <c r="J28" s="668"/>
      <c r="K28" s="668"/>
      <c r="L28" s="664">
        <v>27</v>
      </c>
      <c r="M28" t="s" s="666">
        <v>349</v>
      </c>
      <c r="N28" t="s" s="666">
        <v>350</v>
      </c>
      <c r="O28" t="s" s="666">
        <v>293</v>
      </c>
      <c r="P28" t="s" s="666">
        <v>294</v>
      </c>
      <c r="Q28" t="s" s="666">
        <v>295</v>
      </c>
      <c r="R28" t="s" s="666">
        <v>329</v>
      </c>
      <c r="S28" s="663"/>
      <c r="T28" t="s" s="666">
        <v>203</v>
      </c>
      <c r="U28" s="663"/>
      <c r="V28" s="663"/>
      <c r="W28" s="663"/>
      <c r="X28" s="663"/>
      <c r="Y28" s="663"/>
      <c r="Z28" s="663"/>
      <c r="AA28" s="663"/>
      <c r="AB28" s="663"/>
      <c r="AC28" s="663"/>
      <c r="AD28" s="663"/>
      <c r="AE28" s="663"/>
      <c r="AF28" s="663"/>
      <c r="AG28" s="663"/>
      <c r="AH28" s="663"/>
    </row>
    <row r="29" ht="15" customHeight="1">
      <c r="A29" s="677"/>
      <c r="B29" s="673">
        <v>41</v>
      </c>
      <c r="C29" s="674">
        <v>0</v>
      </c>
      <c r="D29" t="s" s="675">
        <v>257</v>
      </c>
      <c r="E29" t="s" s="675">
        <v>258</v>
      </c>
      <c r="F29" t="s" s="675">
        <f>"Inject "&amp;'Planner Worksheet'!L20&amp;" (PG) to all females not detected in heat."</f>
        <v>268</v>
      </c>
      <c r="G29" s="676"/>
      <c r="H29" t="s" s="675">
        <f>IF('Planner Worksheet'!$G$16=TRUNC(B29/10),IF(I29="","",'Planner Worksheet'!$G$17+C29),"")</f>
      </c>
      <c r="I29" t="s" s="675">
        <f>"* Inject "&amp;'Planner Worksheet'!L20&amp;" to females not in heat"</f>
        <v>351</v>
      </c>
      <c r="J29" s="676"/>
      <c r="K29" s="676"/>
      <c r="L29" s="664">
        <v>28</v>
      </c>
      <c r="M29" t="s" s="666">
        <v>352</v>
      </c>
      <c r="N29" t="s" s="666">
        <v>353</v>
      </c>
      <c r="O29" t="s" s="666">
        <v>354</v>
      </c>
      <c r="P29" t="s" s="666">
        <v>355</v>
      </c>
      <c r="Q29" t="s" s="666">
        <v>200</v>
      </c>
      <c r="R29" t="s" s="666">
        <v>329</v>
      </c>
      <c r="S29" s="663"/>
      <c r="T29" t="s" s="666">
        <v>203</v>
      </c>
      <c r="U29" s="663"/>
      <c r="V29" s="663"/>
      <c r="W29" s="663"/>
      <c r="X29" s="663"/>
      <c r="Y29" s="663"/>
      <c r="Z29" s="663"/>
      <c r="AA29" s="663"/>
      <c r="AB29" s="663"/>
      <c r="AC29" s="663"/>
      <c r="AD29" s="663"/>
      <c r="AE29" s="663"/>
      <c r="AF29" s="663"/>
      <c r="AG29" s="663"/>
      <c r="AH29" s="663"/>
    </row>
    <row r="30" ht="15" customHeight="1">
      <c r="A30" s="678"/>
      <c r="B30" s="664">
        <v>42</v>
      </c>
      <c r="C30" s="665">
        <v>2</v>
      </c>
      <c r="D30" t="s" s="666">
        <v>356</v>
      </c>
      <c r="E30" t="s" s="666">
        <v>272</v>
      </c>
      <c r="F30" t="s" s="666">
        <v>258</v>
      </c>
      <c r="G30" s="663"/>
      <c r="H30" t="s" s="666">
        <f>IF('Planner Worksheet'!$G$16=TRUNC(B30/10),IF(I30="","",'Planner Worksheet'!$G$17+C30),"")</f>
      </c>
      <c r="I30" t="s" s="666">
        <v>357</v>
      </c>
      <c r="J30" s="663"/>
      <c r="K30" s="663"/>
      <c r="L30" s="664">
        <v>29</v>
      </c>
      <c r="M30" t="s" s="666">
        <v>197</v>
      </c>
      <c r="N30" t="s" s="666">
        <v>198</v>
      </c>
      <c r="O30" t="s" s="666">
        <v>199</v>
      </c>
      <c r="P30" t="s" s="666">
        <v>200</v>
      </c>
      <c r="Q30" t="s" s="666">
        <v>201</v>
      </c>
      <c r="R30" t="s" s="666">
        <v>202</v>
      </c>
      <c r="S30" s="663"/>
      <c r="T30" t="s" s="666">
        <v>203</v>
      </c>
      <c r="U30" s="663"/>
      <c r="V30" s="663"/>
      <c r="W30" s="663"/>
      <c r="X30" s="663"/>
      <c r="Y30" s="663"/>
      <c r="Z30" s="663"/>
      <c r="AA30" s="663"/>
      <c r="AB30" s="663"/>
      <c r="AC30" s="663"/>
      <c r="AD30" s="663"/>
      <c r="AE30" s="663"/>
      <c r="AF30" s="663"/>
      <c r="AG30" s="663"/>
      <c r="AH30" s="663"/>
    </row>
    <row r="31" ht="15" customHeight="1">
      <c r="A31" s="678"/>
      <c r="B31" s="664">
        <v>43</v>
      </c>
      <c r="C31" s="665">
        <v>5</v>
      </c>
      <c r="D31" t="s" s="666">
        <v>272</v>
      </c>
      <c r="E31" t="s" s="666">
        <v>258</v>
      </c>
      <c r="F31" t="s" s="666">
        <f>"Inject "&amp;'Planner Worksheet'!L20&amp;" (PG) to all females not detected in heat."</f>
        <v>268</v>
      </c>
      <c r="G31" s="663"/>
      <c r="H31" t="s" s="666">
        <f>IF('Planner Worksheet'!$G$16=TRUNC(B31/10),IF(I31="","",'Planner Worksheet'!$G$17+C31),"")</f>
      </c>
      <c r="I31" t="s" s="666">
        <f>"* Inject "&amp;'Planner Worksheet'!L20&amp;" to females not in heat/bred"</f>
        <v>358</v>
      </c>
      <c r="J31" s="663"/>
      <c r="K31" s="663"/>
      <c r="L31" s="664">
        <v>30</v>
      </c>
      <c r="M31" t="s" s="666">
        <v>291</v>
      </c>
      <c r="N31" s="663"/>
      <c r="O31" s="663"/>
      <c r="P31" s="663"/>
      <c r="Q31" s="663"/>
      <c r="R31" t="s" s="666">
        <v>329</v>
      </c>
      <c r="S31" s="663"/>
      <c r="T31" t="s" s="666">
        <v>203</v>
      </c>
      <c r="U31" s="663"/>
      <c r="V31" s="663"/>
      <c r="W31" s="663"/>
      <c r="X31" s="663"/>
      <c r="Y31" s="663"/>
      <c r="Z31" s="663"/>
      <c r="AA31" s="663"/>
      <c r="AB31" s="663"/>
      <c r="AC31" s="663"/>
      <c r="AD31" s="663"/>
      <c r="AE31" s="663"/>
      <c r="AF31" s="663"/>
      <c r="AG31" s="663"/>
      <c r="AH31" s="663"/>
    </row>
    <row r="32" ht="15" customHeight="1">
      <c r="A32" s="678"/>
      <c r="B32" s="664">
        <v>44</v>
      </c>
      <c r="C32" s="665">
        <v>10</v>
      </c>
      <c r="D32" t="s" s="666">
        <v>276</v>
      </c>
      <c r="E32" t="s" s="666">
        <v>277</v>
      </c>
      <c r="F32" s="663"/>
      <c r="G32" s="663"/>
      <c r="H32" s="667"/>
      <c r="I32" s="663"/>
      <c r="J32" s="663"/>
      <c r="K32" s="663"/>
      <c r="L32" s="664">
        <v>31</v>
      </c>
      <c r="M32" t="s" s="666">
        <v>291</v>
      </c>
      <c r="N32" t="s" s="666">
        <v>328</v>
      </c>
      <c r="O32" t="s" s="666">
        <v>324</v>
      </c>
      <c r="P32" s="663"/>
      <c r="Q32" s="663"/>
      <c r="R32" t="s" s="666">
        <v>329</v>
      </c>
      <c r="S32" s="663"/>
      <c r="T32" t="s" s="666">
        <v>203</v>
      </c>
      <c r="U32" s="663"/>
      <c r="V32" s="663"/>
      <c r="W32" s="663"/>
      <c r="X32" s="663"/>
      <c r="Y32" s="663"/>
      <c r="Z32" s="663"/>
      <c r="AA32" s="663"/>
      <c r="AB32" s="663"/>
      <c r="AC32" s="663"/>
      <c r="AD32" s="663"/>
      <c r="AE32" s="663"/>
      <c r="AF32" s="663"/>
      <c r="AG32" s="663"/>
      <c r="AH32" s="663"/>
    </row>
    <row r="33" ht="15" customHeight="1">
      <c r="A33" s="678"/>
      <c r="B33" s="664">
        <v>45</v>
      </c>
      <c r="C33" s="665">
        <f>'Planner Worksheet'!G21+C32</f>
        <v>10</v>
      </c>
      <c r="D33" t="s" s="666">
        <v>217</v>
      </c>
      <c r="E33" t="s" s="666">
        <v>203</v>
      </c>
      <c r="F33" s="663"/>
      <c r="G33" s="663"/>
      <c r="H33" t="s" s="666">
        <f>IF('Planner Worksheet'!$G$16=TRUNC(B33/10),IF(I33="","",'Planner Worksheet'!$G$17+C33),"")</f>
      </c>
      <c r="I33" t="s" s="666">
        <v>283</v>
      </c>
      <c r="J33" s="663"/>
      <c r="K33" s="663"/>
      <c r="L33" s="664">
        <v>32</v>
      </c>
      <c r="M33" t="s" s="666">
        <v>343</v>
      </c>
      <c r="N33" t="s" s="666">
        <v>359</v>
      </c>
      <c r="O33" t="s" s="666">
        <v>360</v>
      </c>
      <c r="P33" t="s" s="666">
        <v>199</v>
      </c>
      <c r="Q33" t="s" s="666">
        <v>200</v>
      </c>
      <c r="R33" t="s" s="666">
        <v>329</v>
      </c>
      <c r="S33" s="663"/>
      <c r="T33" t="s" s="666">
        <v>203</v>
      </c>
      <c r="U33" s="663"/>
      <c r="V33" s="663"/>
      <c r="W33" s="663"/>
      <c r="X33" s="663"/>
      <c r="Y33" s="663"/>
      <c r="Z33" s="663"/>
      <c r="AA33" s="663"/>
      <c r="AB33" s="663"/>
      <c r="AC33" s="663"/>
      <c r="AD33" s="663"/>
      <c r="AE33" s="663"/>
      <c r="AF33" s="663"/>
      <c r="AG33" s="663"/>
      <c r="AH33" s="663"/>
    </row>
    <row r="34" ht="15" customHeight="1">
      <c r="A34" s="678"/>
      <c r="B34" s="664">
        <v>46</v>
      </c>
      <c r="C34" s="665">
        <v>23</v>
      </c>
      <c r="D34" t="s" s="666">
        <v>218</v>
      </c>
      <c r="E34" s="663"/>
      <c r="F34" s="663"/>
      <c r="G34" s="663"/>
      <c r="H34" s="663">
        <f>23+H29</f>
      </c>
      <c r="I34" t="s" s="666">
        <v>289</v>
      </c>
      <c r="J34" s="663"/>
      <c r="K34" s="663"/>
      <c r="L34" s="664">
        <v>33</v>
      </c>
      <c r="M34" t="s" s="666">
        <v>361</v>
      </c>
      <c r="N34" t="s" s="666">
        <v>362</v>
      </c>
      <c r="O34" t="s" s="666">
        <v>363</v>
      </c>
      <c r="P34" s="663"/>
      <c r="Q34" t="s" s="666">
        <v>364</v>
      </c>
      <c r="R34" t="s" s="666">
        <v>365</v>
      </c>
      <c r="S34" s="663"/>
      <c r="T34" t="s" s="666">
        <v>203</v>
      </c>
      <c r="U34" s="663"/>
      <c r="V34" s="663"/>
      <c r="W34" s="663"/>
      <c r="X34" s="663"/>
      <c r="Y34" s="663"/>
      <c r="Z34" s="663"/>
      <c r="AA34" s="663"/>
      <c r="AB34" s="663"/>
      <c r="AC34" s="663"/>
      <c r="AD34" s="663"/>
      <c r="AE34" s="663"/>
      <c r="AF34" s="663"/>
      <c r="AG34" s="663"/>
      <c r="AH34" s="663"/>
    </row>
    <row r="35" ht="15" customHeight="1">
      <c r="A35" s="678"/>
      <c r="B35" s="664">
        <v>47</v>
      </c>
      <c r="C35" s="665"/>
      <c r="D35" s="663"/>
      <c r="E35" s="663"/>
      <c r="F35" s="663"/>
      <c r="G35" s="663"/>
      <c r="H35" s="667"/>
      <c r="I35" s="663"/>
      <c r="J35" s="663"/>
      <c r="K35" s="663"/>
      <c r="L35" s="664">
        <v>34</v>
      </c>
      <c r="M35" t="s" s="666">
        <v>361</v>
      </c>
      <c r="N35" t="s" s="666">
        <v>362</v>
      </c>
      <c r="O35" s="663"/>
      <c r="P35" s="663"/>
      <c r="Q35" t="s" s="666">
        <v>364</v>
      </c>
      <c r="R35" t="s" s="666">
        <v>366</v>
      </c>
      <c r="S35" s="663"/>
      <c r="T35" t="s" s="666">
        <v>203</v>
      </c>
      <c r="U35" s="663"/>
      <c r="V35" s="663"/>
      <c r="W35" s="663"/>
      <c r="X35" s="663"/>
      <c r="Y35" s="663"/>
      <c r="Z35" s="663"/>
      <c r="AA35" s="663"/>
      <c r="AB35" s="663"/>
      <c r="AC35" s="663"/>
      <c r="AD35" s="663"/>
      <c r="AE35" s="663"/>
      <c r="AF35" s="663"/>
      <c r="AG35" s="663"/>
      <c r="AH35" s="663"/>
    </row>
    <row r="36" ht="15" customHeight="1">
      <c r="A36" s="678"/>
      <c r="B36" s="664">
        <v>48</v>
      </c>
      <c r="C36" s="665"/>
      <c r="D36" s="663"/>
      <c r="E36" s="663"/>
      <c r="F36" s="663"/>
      <c r="G36" s="663"/>
      <c r="H36" s="667"/>
      <c r="I36" s="663"/>
      <c r="J36" s="663"/>
      <c r="K36" s="663"/>
      <c r="L36" s="664">
        <v>35</v>
      </c>
      <c r="M36" t="s" s="666">
        <v>367</v>
      </c>
      <c r="N36" t="s" s="666">
        <v>344</v>
      </c>
      <c r="O36" t="s" s="666">
        <v>368</v>
      </c>
      <c r="P36" t="s" s="666">
        <v>199</v>
      </c>
      <c r="Q36" t="s" s="666">
        <v>200</v>
      </c>
      <c r="R36" t="s" s="666">
        <v>201</v>
      </c>
      <c r="S36" s="663"/>
      <c r="T36" t="s" s="666">
        <v>203</v>
      </c>
      <c r="U36" s="663"/>
      <c r="V36" s="663"/>
      <c r="W36" s="663"/>
      <c r="X36" s="663"/>
      <c r="Y36" s="663"/>
      <c r="Z36" s="663"/>
      <c r="AA36" s="663"/>
      <c r="AB36" s="663"/>
      <c r="AC36" s="663"/>
      <c r="AD36" s="663"/>
      <c r="AE36" s="663"/>
      <c r="AF36" s="663"/>
      <c r="AG36" s="663"/>
      <c r="AH36" s="663"/>
    </row>
    <row r="37" ht="15" customHeight="1">
      <c r="A37" s="668"/>
      <c r="B37" s="669">
        <v>49</v>
      </c>
      <c r="C37" s="670"/>
      <c r="D37" s="668"/>
      <c r="E37" s="668"/>
      <c r="F37" s="668"/>
      <c r="G37" s="668"/>
      <c r="H37" s="671"/>
      <c r="I37" s="668"/>
      <c r="J37" s="668"/>
      <c r="K37" s="668"/>
      <c r="L37" s="664">
        <v>36</v>
      </c>
      <c r="M37" t="s" s="666">
        <v>369</v>
      </c>
      <c r="N37" t="s" s="666">
        <v>344</v>
      </c>
      <c r="O37" t="s" s="666">
        <v>370</v>
      </c>
      <c r="P37" t="s" s="666">
        <v>199</v>
      </c>
      <c r="Q37" t="s" s="666">
        <v>200</v>
      </c>
      <c r="R37" t="s" s="666">
        <v>329</v>
      </c>
      <c r="S37" s="663"/>
      <c r="T37" t="s" s="666">
        <v>203</v>
      </c>
      <c r="U37" s="668"/>
      <c r="V37" s="668"/>
      <c r="W37" s="668"/>
      <c r="X37" s="668"/>
      <c r="Y37" s="668"/>
      <c r="Z37" s="668"/>
      <c r="AA37" s="668"/>
      <c r="AB37" s="668"/>
      <c r="AC37" s="668"/>
      <c r="AD37" s="668"/>
      <c r="AE37" s="668"/>
      <c r="AF37" s="668"/>
      <c r="AG37" s="668"/>
      <c r="AH37" s="668"/>
    </row>
    <row r="38" ht="15" customHeight="1">
      <c r="A38" s="676">
        <f>H40-2</f>
      </c>
      <c r="B38" s="673">
        <v>51</v>
      </c>
      <c r="C38" s="674">
        <v>-31</v>
      </c>
      <c r="D38" t="s" s="675">
        <v>371</v>
      </c>
      <c r="E38" s="676">
        <f>CONCATENATE("Continue feeding until ",MONTH(A38),"/",DAY(A38),"/",YEAR(A38),".")</f>
      </c>
      <c r="F38" s="676"/>
      <c r="G38" s="676"/>
      <c r="H38" s="680"/>
      <c r="I38" s="676"/>
      <c r="J38" s="676"/>
      <c r="K38" s="676"/>
      <c r="L38" s="664">
        <v>37</v>
      </c>
      <c r="M38" t="s" s="666">
        <v>372</v>
      </c>
      <c r="N38" t="s" s="666">
        <v>373</v>
      </c>
      <c r="O38" t="s" s="666">
        <v>199</v>
      </c>
      <c r="P38" t="s" s="666">
        <v>200</v>
      </c>
      <c r="Q38" t="s" s="666">
        <v>201</v>
      </c>
      <c r="R38" t="s" s="666">
        <v>202</v>
      </c>
      <c r="S38" s="663"/>
      <c r="T38" t="s" s="666">
        <v>203</v>
      </c>
      <c r="U38" s="676"/>
      <c r="V38" s="676"/>
      <c r="W38" s="676"/>
      <c r="X38" s="676"/>
      <c r="Y38" s="676"/>
      <c r="Z38" s="676"/>
      <c r="AA38" s="676"/>
      <c r="AB38" s="676"/>
      <c r="AC38" s="676"/>
      <c r="AD38" s="676"/>
      <c r="AE38" s="676"/>
      <c r="AF38" s="676"/>
      <c r="AG38" s="676"/>
      <c r="AH38" s="676"/>
    </row>
    <row r="39" ht="15" customHeight="1">
      <c r="A39" s="663"/>
      <c r="B39" s="664">
        <v>52</v>
      </c>
      <c r="C39" s="665">
        <v>-18</v>
      </c>
      <c r="D39" t="s" s="666">
        <v>374</v>
      </c>
      <c r="E39" s="663"/>
      <c r="F39" s="663"/>
      <c r="G39" s="663"/>
      <c r="H39" s="667"/>
      <c r="I39" s="663"/>
      <c r="J39" s="663"/>
      <c r="K39" s="663"/>
      <c r="L39" s="664">
        <v>38</v>
      </c>
      <c r="M39" t="s" s="666">
        <v>344</v>
      </c>
      <c r="N39" t="s" s="666">
        <v>375</v>
      </c>
      <c r="O39" t="s" s="666">
        <v>199</v>
      </c>
      <c r="P39" t="s" s="666">
        <v>200</v>
      </c>
      <c r="Q39" t="s" s="666">
        <v>376</v>
      </c>
      <c r="R39" t="s" s="666">
        <v>202</v>
      </c>
      <c r="S39" s="663"/>
      <c r="T39" t="s" s="666">
        <v>203</v>
      </c>
      <c r="U39" s="663"/>
      <c r="V39" s="663"/>
      <c r="W39" s="663"/>
      <c r="X39" s="663"/>
      <c r="Y39" s="663"/>
      <c r="Z39" s="663"/>
      <c r="AA39" s="663"/>
      <c r="AB39" s="663"/>
      <c r="AC39" s="663"/>
      <c r="AD39" s="663"/>
      <c r="AE39" s="663"/>
      <c r="AF39" s="663"/>
      <c r="AG39" s="663"/>
      <c r="AH39" s="663"/>
    </row>
    <row r="40" ht="15" customHeight="1">
      <c r="A40" s="663"/>
      <c r="B40" s="664">
        <v>53</v>
      </c>
      <c r="C40" s="665">
        <v>-16</v>
      </c>
      <c r="D40" t="s" s="666">
        <v>377</v>
      </c>
      <c r="E40" s="663"/>
      <c r="F40" s="663"/>
      <c r="G40" s="663"/>
      <c r="H40" t="s" s="666">
        <f>IF('Planner Worksheet'!$G$16=TRUNC(B40/10),IF(I40="","",'Planner Worksheet'!$G$17+C40),"")</f>
      </c>
      <c r="I40" t="s" s="666">
        <v>378</v>
      </c>
      <c r="J40" s="663"/>
      <c r="K40" s="663"/>
      <c r="L40" s="678"/>
      <c r="M40" s="663"/>
      <c r="N40" s="663"/>
      <c r="O40" s="663"/>
      <c r="P40" s="663"/>
      <c r="Q40" s="663"/>
      <c r="R40" s="663"/>
      <c r="S40" s="663"/>
      <c r="T40" s="663"/>
      <c r="U40" s="663"/>
      <c r="V40" s="663"/>
      <c r="W40" s="663"/>
      <c r="X40" s="663"/>
      <c r="Y40" s="663"/>
      <c r="Z40" s="663"/>
      <c r="AA40" s="663"/>
      <c r="AB40" s="663"/>
      <c r="AC40" s="663"/>
      <c r="AD40" s="663"/>
      <c r="AE40" s="663"/>
      <c r="AF40" s="663"/>
      <c r="AG40" s="663"/>
      <c r="AH40" s="663"/>
    </row>
    <row r="41" ht="15" customHeight="1">
      <c r="A41" s="663"/>
      <c r="B41" s="664">
        <v>54</v>
      </c>
      <c r="C41" s="665">
        <v>0</v>
      </c>
      <c r="D41" t="s" s="666">
        <f>"Inject "&amp;'Planner Worksheet'!L20&amp;" (PG) to all females."</f>
        <v>334</v>
      </c>
      <c r="E41" t="s" s="666">
        <v>257</v>
      </c>
      <c r="F41" t="s" s="666">
        <v>258</v>
      </c>
      <c r="G41" s="663"/>
      <c r="H41" t="s" s="666">
        <f>IF('Planner Worksheet'!$G$16=TRUNC(B41/10),IF(I41="","",'Planner Worksheet'!$G$17+C41),"")</f>
      </c>
      <c r="I41" t="s" s="666">
        <f>"* inject "&amp;'Planner Worksheet'!L20&amp;"- all females"</f>
        <v>379</v>
      </c>
      <c r="J41" s="663"/>
      <c r="K41" s="663"/>
      <c r="L41" s="678"/>
      <c r="M41" s="663"/>
      <c r="N41" s="663"/>
      <c r="O41" s="663"/>
      <c r="P41" s="663"/>
      <c r="Q41" s="663"/>
      <c r="R41" s="663"/>
      <c r="S41" s="663"/>
      <c r="T41" s="663"/>
      <c r="U41" s="663"/>
      <c r="V41" s="663"/>
      <c r="W41" s="663"/>
      <c r="X41" s="663"/>
      <c r="Y41" s="663"/>
      <c r="Z41" s="663"/>
      <c r="AA41" s="663"/>
      <c r="AB41" s="663"/>
      <c r="AC41" s="663"/>
      <c r="AD41" s="663"/>
      <c r="AE41" s="663"/>
      <c r="AF41" s="663"/>
      <c r="AG41" s="663"/>
      <c r="AH41" s="663"/>
    </row>
    <row r="42" ht="15" customHeight="1">
      <c r="A42" s="663"/>
      <c r="B42" s="664">
        <v>55</v>
      </c>
      <c r="C42" s="665">
        <v>1</v>
      </c>
      <c r="D42" t="s" s="666">
        <v>272</v>
      </c>
      <c r="E42" t="s" s="666">
        <v>258</v>
      </c>
      <c r="F42" s="663"/>
      <c r="G42" s="663"/>
      <c r="H42" s="667"/>
      <c r="I42" s="663"/>
      <c r="J42" s="663"/>
      <c r="K42" s="663"/>
      <c r="L42" s="678"/>
      <c r="M42" s="663"/>
      <c r="N42" s="663"/>
      <c r="O42" s="663"/>
      <c r="P42" s="663"/>
      <c r="Q42" s="663"/>
      <c r="R42" s="663"/>
      <c r="S42" s="663"/>
      <c r="T42" s="663"/>
      <c r="U42" s="663"/>
      <c r="V42" s="663"/>
      <c r="W42" s="663"/>
      <c r="X42" s="663"/>
      <c r="Y42" s="663"/>
      <c r="Z42" s="663"/>
      <c r="AA42" s="663"/>
      <c r="AB42" s="663"/>
      <c r="AC42" s="663"/>
      <c r="AD42" s="663"/>
      <c r="AE42" s="663"/>
      <c r="AF42" s="663"/>
      <c r="AG42" s="663"/>
      <c r="AH42" s="663"/>
    </row>
    <row r="43" ht="15" customHeight="1">
      <c r="A43" s="663"/>
      <c r="B43" s="664">
        <v>56</v>
      </c>
      <c r="C43" s="665">
        <v>2</v>
      </c>
      <c r="D43" t="s" s="666">
        <v>356</v>
      </c>
      <c r="E43" t="s" s="666">
        <v>272</v>
      </c>
      <c r="F43" t="s" s="666">
        <v>258</v>
      </c>
      <c r="G43" s="663"/>
      <c r="H43" t="s" s="666">
        <f>IF('Planner Worksheet'!$G$16=TRUNC(B43/10),IF(I43="","",'Planner Worksheet'!$G$17+C43),"")</f>
      </c>
      <c r="I43" t="s" s="666">
        <v>357</v>
      </c>
      <c r="J43" s="663"/>
      <c r="K43" s="663"/>
      <c r="L43" s="678"/>
      <c r="M43" s="663"/>
      <c r="N43" s="663"/>
      <c r="O43" s="663"/>
      <c r="P43" s="663"/>
      <c r="Q43" s="663"/>
      <c r="R43" s="663"/>
      <c r="S43" s="663"/>
      <c r="T43" s="663"/>
      <c r="U43" s="663"/>
      <c r="V43" s="663"/>
      <c r="W43" s="663"/>
      <c r="X43" s="663"/>
      <c r="Y43" s="663"/>
      <c r="Z43" s="663"/>
      <c r="AA43" s="663"/>
      <c r="AB43" s="663"/>
      <c r="AC43" s="663"/>
      <c r="AD43" s="663"/>
      <c r="AE43" s="663"/>
      <c r="AF43" s="663"/>
      <c r="AG43" s="663"/>
      <c r="AH43" s="663"/>
    </row>
    <row r="44" ht="15" customHeight="1">
      <c r="A44" s="663"/>
      <c r="B44" s="664">
        <v>57</v>
      </c>
      <c r="C44" s="665">
        <v>5</v>
      </c>
      <c r="D44" t="s" s="666">
        <v>276</v>
      </c>
      <c r="E44" t="s" s="666">
        <v>277</v>
      </c>
      <c r="F44" s="663"/>
      <c r="G44" s="663"/>
      <c r="H44" s="667"/>
      <c r="I44" s="663"/>
      <c r="J44" s="663"/>
      <c r="K44" s="663"/>
      <c r="L44" s="678"/>
      <c r="M44" s="663"/>
      <c r="N44" s="663"/>
      <c r="O44" s="663"/>
      <c r="P44" s="663"/>
      <c r="Q44" s="663"/>
      <c r="R44" s="663"/>
      <c r="S44" s="663"/>
      <c r="T44" s="663"/>
      <c r="U44" s="663"/>
      <c r="V44" s="663"/>
      <c r="W44" s="663"/>
      <c r="X44" s="663"/>
      <c r="Y44" s="663"/>
      <c r="Z44" s="663"/>
      <c r="AA44" s="663"/>
      <c r="AB44" s="663"/>
      <c r="AC44" s="663"/>
      <c r="AD44" s="663"/>
      <c r="AE44" s="663"/>
      <c r="AF44" s="663"/>
      <c r="AG44" s="663"/>
      <c r="AH44" s="663"/>
    </row>
    <row r="45" ht="15" customHeight="1">
      <c r="A45" s="663"/>
      <c r="B45" s="664">
        <v>58</v>
      </c>
      <c r="C45" s="665">
        <f>'Planner Worksheet'!G21+C44</f>
        <v>5</v>
      </c>
      <c r="D45" t="s" s="666">
        <v>217</v>
      </c>
      <c r="E45" t="s" s="666">
        <v>203</v>
      </c>
      <c r="F45" s="663"/>
      <c r="G45" s="663"/>
      <c r="H45" t="s" s="666">
        <f>IF('Planner Worksheet'!$G$16=TRUNC(B45/10),IF(I45="","",'Planner Worksheet'!$G$17+C45),"")</f>
      </c>
      <c r="I45" t="s" s="666">
        <v>283</v>
      </c>
      <c r="J45" s="663"/>
      <c r="K45" s="663"/>
      <c r="L45" s="678"/>
      <c r="M45" s="663"/>
      <c r="N45" s="663"/>
      <c r="O45" s="663"/>
      <c r="P45" s="663"/>
      <c r="Q45" s="663"/>
      <c r="R45" s="663"/>
      <c r="S45" s="663"/>
      <c r="T45" s="663"/>
      <c r="U45" s="663"/>
      <c r="V45" s="663"/>
      <c r="W45" s="663"/>
      <c r="X45" s="663"/>
      <c r="Y45" s="663"/>
      <c r="Z45" s="663"/>
      <c r="AA45" s="663"/>
      <c r="AB45" s="663"/>
      <c r="AC45" s="663"/>
      <c r="AD45" s="663"/>
      <c r="AE45" s="663"/>
      <c r="AF45" s="663"/>
      <c r="AG45" s="663"/>
      <c r="AH45" s="663"/>
    </row>
    <row r="46" ht="15" customHeight="1">
      <c r="A46" s="668"/>
      <c r="B46" s="669">
        <v>59</v>
      </c>
      <c r="C46" s="670">
        <v>23</v>
      </c>
      <c r="D46" t="s" s="681">
        <v>218</v>
      </c>
      <c r="E46" s="668"/>
      <c r="F46" s="668"/>
      <c r="G46" s="668"/>
      <c r="H46" s="668">
        <f>23+H41</f>
      </c>
      <c r="I46" t="s" s="681">
        <v>289</v>
      </c>
      <c r="J46" s="668"/>
      <c r="K46" s="668"/>
      <c r="L46" s="679"/>
      <c r="M46" s="668"/>
      <c r="N46" s="668"/>
      <c r="O46" s="668"/>
      <c r="P46" s="668"/>
      <c r="Q46" s="668"/>
      <c r="R46" s="668"/>
      <c r="S46" s="668"/>
      <c r="T46" s="668"/>
      <c r="U46" s="668"/>
      <c r="V46" s="668"/>
      <c r="W46" s="668"/>
      <c r="X46" s="668"/>
      <c r="Y46" s="668"/>
      <c r="Z46" s="668"/>
      <c r="AA46" s="668"/>
      <c r="AB46" s="668"/>
      <c r="AC46" s="668"/>
      <c r="AD46" s="668"/>
      <c r="AE46" s="668"/>
      <c r="AF46" s="668"/>
      <c r="AG46" s="668"/>
      <c r="AH46" s="668"/>
    </row>
    <row r="47" ht="15" customHeight="1">
      <c r="A47" s="676">
        <f>H49-2</f>
      </c>
      <c r="B47" s="673">
        <v>61</v>
      </c>
      <c r="C47" s="674">
        <v>-32</v>
      </c>
      <c r="D47" t="s" s="675">
        <v>371</v>
      </c>
      <c r="E47" s="676">
        <f>CONCATENATE("Continue feeding until ",MONTH(A47),"/",DAY(A47),"/",YEAR(A47),".")</f>
      </c>
      <c r="F47" s="676"/>
      <c r="G47" s="676"/>
      <c r="H47" s="680"/>
      <c r="I47" s="676"/>
      <c r="J47" s="676"/>
      <c r="K47" s="676"/>
      <c r="L47" s="677"/>
      <c r="M47" s="676"/>
      <c r="N47" s="676"/>
      <c r="O47" s="676"/>
      <c r="P47" s="676"/>
      <c r="Q47" s="676"/>
      <c r="R47" s="676"/>
      <c r="S47" s="676"/>
      <c r="T47" s="676"/>
      <c r="U47" s="676"/>
      <c r="V47" s="676"/>
      <c r="W47" s="676"/>
      <c r="X47" s="676"/>
      <c r="Y47" s="676"/>
      <c r="Z47" s="676"/>
      <c r="AA47" s="676"/>
      <c r="AB47" s="676"/>
      <c r="AC47" s="676"/>
      <c r="AD47" s="676"/>
      <c r="AE47" s="676"/>
      <c r="AF47" s="676"/>
      <c r="AG47" s="676"/>
      <c r="AH47" s="676"/>
    </row>
    <row r="48" ht="15" customHeight="1">
      <c r="A48" s="663"/>
      <c r="B48" s="664">
        <v>62</v>
      </c>
      <c r="C48" s="665">
        <v>-19</v>
      </c>
      <c r="D48" t="s" s="666">
        <v>374</v>
      </c>
      <c r="E48" s="663"/>
      <c r="F48" s="663"/>
      <c r="G48" s="663"/>
      <c r="H48" s="667"/>
      <c r="I48" s="663"/>
      <c r="J48" s="663"/>
      <c r="K48" s="663"/>
      <c r="L48" s="678"/>
      <c r="M48" s="663"/>
      <c r="N48" s="663"/>
      <c r="O48" s="663"/>
      <c r="P48" s="663"/>
      <c r="Q48" s="663"/>
      <c r="R48" s="663"/>
      <c r="S48" s="663"/>
      <c r="T48" s="663"/>
      <c r="U48" s="663"/>
      <c r="V48" s="663"/>
      <c r="W48" s="663"/>
      <c r="X48" s="663"/>
      <c r="Y48" s="663"/>
      <c r="Z48" s="663"/>
      <c r="AA48" s="663"/>
      <c r="AB48" s="663"/>
      <c r="AC48" s="663"/>
      <c r="AD48" s="663"/>
      <c r="AE48" s="663"/>
      <c r="AF48" s="663"/>
      <c r="AG48" s="663"/>
      <c r="AH48" s="663"/>
    </row>
    <row r="49" ht="15" customHeight="1">
      <c r="A49" s="663"/>
      <c r="B49" s="664">
        <v>63</v>
      </c>
      <c r="C49" s="665">
        <v>-17</v>
      </c>
      <c r="D49" t="s" s="666">
        <v>377</v>
      </c>
      <c r="E49" s="663"/>
      <c r="F49" s="663"/>
      <c r="G49" s="663"/>
      <c r="H49" t="s" s="666">
        <f>IF('Planner Worksheet'!$G$16=TRUNC(B49/10),IF(I49="","",'Planner Worksheet'!$G$17+C49),"")</f>
      </c>
      <c r="I49" t="s" s="666">
        <v>378</v>
      </c>
      <c r="J49" s="663"/>
      <c r="K49" s="663"/>
      <c r="L49" s="678"/>
      <c r="M49" s="663"/>
      <c r="N49" s="663"/>
      <c r="O49" s="663"/>
      <c r="P49" s="663"/>
      <c r="Q49" s="663"/>
      <c r="R49" s="663"/>
      <c r="S49" s="663"/>
      <c r="T49" s="663"/>
      <c r="U49" s="663"/>
      <c r="V49" s="663"/>
      <c r="W49" s="663"/>
      <c r="X49" s="663"/>
      <c r="Y49" s="663"/>
      <c r="Z49" s="663"/>
      <c r="AA49" s="663"/>
      <c r="AB49" s="663"/>
      <c r="AC49" s="663"/>
      <c r="AD49" s="663"/>
      <c r="AE49" s="663"/>
      <c r="AF49" s="663"/>
      <c r="AG49" s="663"/>
      <c r="AH49" s="663"/>
    </row>
    <row r="50" ht="15" customHeight="1">
      <c r="A50" s="663"/>
      <c r="B50" s="664">
        <v>64</v>
      </c>
      <c r="C50" s="665">
        <v>0</v>
      </c>
      <c r="D50" t="s" s="666">
        <f>"Inject "&amp;'Planner Worksheet'!L20&amp;" (PG) to all females."</f>
        <v>334</v>
      </c>
      <c r="E50" t="s" s="666">
        <v>257</v>
      </c>
      <c r="F50" t="s" s="666">
        <v>258</v>
      </c>
      <c r="G50" s="663"/>
      <c r="H50" t="s" s="666">
        <f>IF('Planner Worksheet'!$G$16=TRUNC(B50/10),IF(I50="","",'Planner Worksheet'!$G$17+C50),"")</f>
      </c>
      <c r="I50" t="s" s="666">
        <f>"* inject "&amp;'Planner Worksheet'!L20&amp;"- all females"</f>
        <v>379</v>
      </c>
      <c r="J50" s="663"/>
      <c r="K50" s="663"/>
      <c r="L50" s="678"/>
      <c r="M50" s="663"/>
      <c r="N50" s="663"/>
      <c r="O50" s="663"/>
      <c r="P50" s="663"/>
      <c r="Q50" s="663"/>
      <c r="R50" s="663"/>
      <c r="S50" s="663"/>
      <c r="T50" s="663"/>
      <c r="U50" s="663"/>
      <c r="V50" s="663"/>
      <c r="W50" s="663"/>
      <c r="X50" s="663"/>
      <c r="Y50" s="663"/>
      <c r="Z50" s="663"/>
      <c r="AA50" s="663"/>
      <c r="AB50" s="663"/>
      <c r="AC50" s="663"/>
      <c r="AD50" s="663"/>
      <c r="AE50" s="663"/>
      <c r="AF50" s="663"/>
      <c r="AG50" s="663"/>
      <c r="AH50" s="663"/>
    </row>
    <row r="51" ht="15" customHeight="1">
      <c r="A51" s="678"/>
      <c r="B51" s="664">
        <v>65</v>
      </c>
      <c r="C51" s="665">
        <v>1</v>
      </c>
      <c r="D51" t="s" s="666">
        <v>272</v>
      </c>
      <c r="E51" t="s" s="666">
        <v>258</v>
      </c>
      <c r="F51" s="663"/>
      <c r="G51" s="663"/>
      <c r="H51" s="667"/>
      <c r="I51" s="663"/>
      <c r="J51" s="663"/>
      <c r="K51" s="663"/>
      <c r="L51" s="678"/>
      <c r="M51" s="663"/>
      <c r="N51" s="663"/>
      <c r="O51" s="663"/>
      <c r="P51" s="663"/>
      <c r="Q51" s="663"/>
      <c r="R51" s="663"/>
      <c r="S51" s="663"/>
      <c r="T51" s="663"/>
      <c r="U51" s="663"/>
      <c r="V51" s="663"/>
      <c r="W51" s="663"/>
      <c r="X51" s="663"/>
      <c r="Y51" s="663"/>
      <c r="Z51" s="663"/>
      <c r="AA51" s="663"/>
      <c r="AB51" s="663"/>
      <c r="AC51" s="663"/>
      <c r="AD51" s="663"/>
      <c r="AE51" s="663"/>
      <c r="AF51" s="663"/>
      <c r="AG51" s="663"/>
      <c r="AH51" s="663"/>
    </row>
    <row r="52" ht="15" customHeight="1">
      <c r="A52" s="678"/>
      <c r="B52" s="664">
        <v>66</v>
      </c>
      <c r="C52" s="665">
        <v>2</v>
      </c>
      <c r="D52" t="s" s="666">
        <v>356</v>
      </c>
      <c r="E52" t="s" s="666">
        <v>272</v>
      </c>
      <c r="F52" t="s" s="666">
        <v>258</v>
      </c>
      <c r="G52" s="663"/>
      <c r="H52" t="s" s="666">
        <f>IF('Planner Worksheet'!$G$16=TRUNC(B52/10),IF(I52="","",'Planner Worksheet'!$G$17+C52),"")</f>
      </c>
      <c r="I52" t="s" s="666">
        <v>357</v>
      </c>
      <c r="J52" s="663"/>
      <c r="K52" s="663"/>
      <c r="L52" s="678"/>
      <c r="M52" s="663"/>
      <c r="N52" s="663"/>
      <c r="O52" s="663"/>
      <c r="P52" s="663"/>
      <c r="Q52" s="663"/>
      <c r="R52" s="663"/>
      <c r="S52" s="663"/>
      <c r="T52" s="663"/>
      <c r="U52" s="663"/>
      <c r="V52" s="663"/>
      <c r="W52" s="663"/>
      <c r="X52" s="663"/>
      <c r="Y52" s="663"/>
      <c r="Z52" s="663"/>
      <c r="AA52" s="663"/>
      <c r="AB52" s="663"/>
      <c r="AC52" s="663"/>
      <c r="AD52" s="663"/>
      <c r="AE52" s="663"/>
      <c r="AF52" s="663"/>
      <c r="AG52" s="663"/>
      <c r="AH52" s="663"/>
    </row>
    <row r="53" ht="15" customHeight="1">
      <c r="A53" s="678"/>
      <c r="B53" s="664">
        <v>67</v>
      </c>
      <c r="C53" s="665">
        <v>6</v>
      </c>
      <c r="D53" t="s" s="666">
        <v>276</v>
      </c>
      <c r="E53" t="s" s="666">
        <v>277</v>
      </c>
      <c r="F53" s="663"/>
      <c r="G53" s="663"/>
      <c r="H53" s="667"/>
      <c r="I53" s="663"/>
      <c r="J53" s="663"/>
      <c r="K53" s="663"/>
      <c r="L53" s="678"/>
      <c r="M53" s="663"/>
      <c r="N53" s="663"/>
      <c r="O53" s="663"/>
      <c r="P53" s="663"/>
      <c r="Q53" s="663"/>
      <c r="R53" s="663"/>
      <c r="S53" s="663"/>
      <c r="T53" s="663"/>
      <c r="U53" s="663"/>
      <c r="V53" s="663"/>
      <c r="W53" s="663"/>
      <c r="X53" s="663"/>
      <c r="Y53" s="663"/>
      <c r="Z53" s="663"/>
      <c r="AA53" s="663"/>
      <c r="AB53" s="663"/>
      <c r="AC53" s="663"/>
      <c r="AD53" s="663"/>
      <c r="AE53" s="663"/>
      <c r="AF53" s="663"/>
      <c r="AG53" s="663"/>
      <c r="AH53" s="663"/>
    </row>
    <row r="54" ht="15" customHeight="1">
      <c r="A54" s="678"/>
      <c r="B54" s="664">
        <v>68</v>
      </c>
      <c r="C54" s="665">
        <f>'Planner Worksheet'!G21+C53</f>
        <v>6</v>
      </c>
      <c r="D54" t="s" s="666">
        <v>217</v>
      </c>
      <c r="E54" t="s" s="666">
        <v>203</v>
      </c>
      <c r="F54" s="663"/>
      <c r="G54" s="663"/>
      <c r="H54" t="s" s="666">
        <f>IF('Planner Worksheet'!$G$16=TRUNC(B54/10),IF(I54="","",'Planner Worksheet'!$G$17+C54),"")</f>
      </c>
      <c r="I54" t="s" s="666">
        <v>283</v>
      </c>
      <c r="J54" s="663"/>
      <c r="K54" s="663"/>
      <c r="L54" s="678"/>
      <c r="M54" s="663"/>
      <c r="N54" s="663"/>
      <c r="O54" s="663"/>
      <c r="P54" s="663"/>
      <c r="Q54" s="663"/>
      <c r="R54" s="663"/>
      <c r="S54" s="663"/>
      <c r="T54" s="663"/>
      <c r="U54" s="663"/>
      <c r="V54" s="663"/>
      <c r="W54" s="663"/>
      <c r="X54" s="663"/>
      <c r="Y54" s="663"/>
      <c r="Z54" s="663"/>
      <c r="AA54" s="663"/>
      <c r="AB54" s="663"/>
      <c r="AC54" s="663"/>
      <c r="AD54" s="663"/>
      <c r="AE54" s="663"/>
      <c r="AF54" s="663"/>
      <c r="AG54" s="663"/>
      <c r="AH54" s="663"/>
    </row>
    <row r="55" ht="15" customHeight="1">
      <c r="A55" s="679"/>
      <c r="B55" s="669">
        <v>69</v>
      </c>
      <c r="C55" s="670"/>
      <c r="D55" t="s" s="681">
        <f>IF(C54&gt;C55,"Open females - observe estrus over next 5 days","")</f>
        <v>380</v>
      </c>
      <c r="E55" s="668"/>
      <c r="F55" s="668"/>
      <c r="G55" s="668"/>
      <c r="H55" t="s" s="681">
        <f>IF('Planner Worksheet'!$G$16=TRUNC(B57/10),IF(I54="","",'Planner Worksheet'!$G$17+C55),"")</f>
      </c>
      <c r="I55" t="s" s="681">
        <f>IF(C54&gt;C55,"* Observe for estrus over next 5 days","")</f>
        <v>381</v>
      </c>
      <c r="J55" s="668"/>
      <c r="K55" s="668"/>
      <c r="L55" s="679"/>
      <c r="M55" s="668"/>
      <c r="N55" s="668"/>
      <c r="O55" s="668"/>
      <c r="P55" s="668"/>
      <c r="Q55" s="668"/>
      <c r="R55" s="668"/>
      <c r="S55" s="668"/>
      <c r="T55" s="668"/>
      <c r="U55" s="668"/>
      <c r="V55" s="668"/>
      <c r="W55" s="668"/>
      <c r="X55" s="668"/>
      <c r="Y55" s="668"/>
      <c r="Z55" s="668"/>
      <c r="AA55" s="668"/>
      <c r="AB55" s="668"/>
      <c r="AC55" s="668"/>
      <c r="AD55" s="668"/>
      <c r="AE55" s="668"/>
      <c r="AF55" s="668"/>
      <c r="AG55" s="668"/>
      <c r="AH55" s="668"/>
    </row>
    <row r="56" ht="15" customHeight="1">
      <c r="A56" s="677"/>
      <c r="B56" s="673">
        <v>71</v>
      </c>
      <c r="C56" s="674">
        <v>-5</v>
      </c>
      <c r="D56" t="s" s="675">
        <f>"Inject "&amp;'Planner Worksheet'!L19&amp;" (GnRH) to all females."</f>
        <v>382</v>
      </c>
      <c r="E56" s="676"/>
      <c r="F56" s="676"/>
      <c r="G56" s="676"/>
      <c r="H56" t="s" s="675">
        <f>IF('Planner Worksheet'!$G$16=TRUNC(B56/10),IF(I56="","",'Planner Worksheet'!$G$17+C56),"")</f>
      </c>
      <c r="I56" t="s" s="675">
        <f>"* Inject "&amp;'Planner Worksheet'!L19&amp;" to all females"</f>
        <v>383</v>
      </c>
      <c r="J56" s="676"/>
      <c r="K56" s="676"/>
      <c r="L56" s="677"/>
      <c r="M56" s="676"/>
      <c r="N56" s="676"/>
      <c r="O56" s="676"/>
      <c r="P56" s="676"/>
      <c r="Q56" s="676"/>
      <c r="R56" s="676"/>
      <c r="S56" s="676"/>
      <c r="T56" s="676"/>
      <c r="U56" s="676"/>
      <c r="V56" s="676"/>
      <c r="W56" s="676"/>
      <c r="X56" s="676"/>
      <c r="Y56" s="676"/>
      <c r="Z56" s="676"/>
      <c r="AA56" s="676"/>
      <c r="AB56" s="676"/>
      <c r="AC56" s="676"/>
      <c r="AD56" s="676"/>
      <c r="AE56" s="676"/>
      <c r="AF56" s="676"/>
      <c r="AG56" s="676"/>
      <c r="AH56" s="676"/>
    </row>
    <row r="57" ht="15" customHeight="1">
      <c r="A57" s="678"/>
      <c r="B57" s="664">
        <v>72</v>
      </c>
      <c r="C57" s="665">
        <v>0</v>
      </c>
      <c r="D57" t="s" s="666">
        <v>257</v>
      </c>
      <c r="E57" t="s" s="666">
        <v>258</v>
      </c>
      <c r="F57" s="663"/>
      <c r="G57" s="663"/>
      <c r="H57" s="667"/>
      <c r="I57" s="663"/>
      <c r="J57" s="663"/>
      <c r="K57" s="663"/>
      <c r="L57" s="678"/>
      <c r="M57" s="663"/>
      <c r="N57" s="663"/>
      <c r="O57" s="663"/>
      <c r="P57" s="663"/>
      <c r="Q57" s="663"/>
      <c r="R57" s="663"/>
      <c r="S57" s="663"/>
      <c r="T57" s="663"/>
      <c r="U57" s="663"/>
      <c r="V57" s="663"/>
      <c r="W57" s="663"/>
      <c r="X57" s="663"/>
      <c r="Y57" s="663"/>
      <c r="Z57" s="663"/>
      <c r="AA57" s="663"/>
      <c r="AB57" s="663"/>
      <c r="AC57" s="663"/>
      <c r="AD57" s="663"/>
      <c r="AE57" s="663"/>
      <c r="AF57" s="663"/>
      <c r="AG57" s="663"/>
      <c r="AH57" s="663"/>
    </row>
    <row r="58" ht="15" customHeight="1">
      <c r="A58" s="678"/>
      <c r="B58" s="664">
        <v>73</v>
      </c>
      <c r="C58" s="665">
        <v>2</v>
      </c>
      <c r="D58" t="s" s="666">
        <v>272</v>
      </c>
      <c r="E58" t="s" s="666">
        <v>258</v>
      </c>
      <c r="F58" t="s" s="666">
        <f>"Inject "&amp;'Planner Worksheet'!L20&amp;" (PG) to all females not detected in heat."</f>
        <v>268</v>
      </c>
      <c r="G58" s="663"/>
      <c r="H58" t="s" s="666">
        <f>IF('Planner Worksheet'!$G$16=TRUNC(B58/10),IF(I58="","",'Planner Worksheet'!$G$17+C58),"")</f>
      </c>
      <c r="I58" t="s" s="666">
        <f>"* inject "&amp;'Planner Worksheet'!L20&amp;" to females not in heat/bred"</f>
        <v>384</v>
      </c>
      <c r="J58" s="663"/>
      <c r="K58" s="663"/>
      <c r="L58" s="678"/>
      <c r="M58" s="663"/>
      <c r="N58" s="663"/>
      <c r="O58" s="663"/>
      <c r="P58" s="663"/>
      <c r="Q58" s="663"/>
      <c r="R58" s="663"/>
      <c r="S58" s="663"/>
      <c r="T58" s="663"/>
      <c r="U58" s="663"/>
      <c r="V58" s="663"/>
      <c r="W58" s="663"/>
      <c r="X58" s="663"/>
      <c r="Y58" s="663"/>
      <c r="Z58" s="663"/>
      <c r="AA58" s="663"/>
      <c r="AB58" s="663"/>
      <c r="AC58" s="663"/>
      <c r="AD58" s="663"/>
      <c r="AE58" s="663"/>
      <c r="AF58" s="663"/>
      <c r="AG58" s="663"/>
      <c r="AH58" s="663"/>
    </row>
    <row r="59" ht="15" customHeight="1">
      <c r="A59" s="682"/>
      <c r="B59" s="664">
        <v>74</v>
      </c>
      <c r="C59" s="665">
        <v>4</v>
      </c>
      <c r="D59" t="s" s="666">
        <v>385</v>
      </c>
      <c r="E59" t="s" s="666">
        <v>272</v>
      </c>
      <c r="F59" t="s" s="666">
        <v>258</v>
      </c>
      <c r="G59" s="663"/>
      <c r="H59" t="s" s="666">
        <f>IF('Planner Worksheet'!$G$16=TRUNC(B59/10),IF(I59="","",'Planner Worksheet'!$G$17+C59),"")</f>
      </c>
      <c r="I59" t="s" s="666">
        <v>357</v>
      </c>
      <c r="J59" s="663"/>
      <c r="K59" s="663"/>
      <c r="L59" s="678"/>
      <c r="M59" s="663"/>
      <c r="N59" s="663"/>
      <c r="O59" s="663"/>
      <c r="P59" s="663"/>
      <c r="Q59" s="663"/>
      <c r="R59" s="663"/>
      <c r="S59" s="663"/>
      <c r="T59" s="663"/>
      <c r="U59" s="663"/>
      <c r="V59" s="663"/>
      <c r="W59" s="663"/>
      <c r="X59" s="663"/>
      <c r="Y59" s="663"/>
      <c r="Z59" s="663"/>
      <c r="AA59" s="663"/>
      <c r="AB59" s="663"/>
      <c r="AC59" s="663"/>
      <c r="AD59" s="663"/>
      <c r="AE59" s="663"/>
      <c r="AF59" s="663"/>
      <c r="AG59" s="663"/>
      <c r="AH59" s="663"/>
    </row>
    <row r="60" ht="15" customHeight="1">
      <c r="A60" s="682"/>
      <c r="B60" s="664">
        <v>75</v>
      </c>
      <c r="C60" s="665">
        <v>7</v>
      </c>
      <c r="D60" t="s" s="666">
        <v>276</v>
      </c>
      <c r="E60" t="s" s="666">
        <v>277</v>
      </c>
      <c r="F60" s="663"/>
      <c r="G60" s="663"/>
      <c r="H60" s="667"/>
      <c r="I60" s="663"/>
      <c r="J60" s="663"/>
      <c r="K60" s="663"/>
      <c r="L60" s="678"/>
      <c r="M60" s="663"/>
      <c r="N60" s="663"/>
      <c r="O60" s="663"/>
      <c r="P60" s="663"/>
      <c r="Q60" s="663"/>
      <c r="R60" s="663"/>
      <c r="S60" s="663"/>
      <c r="T60" s="663"/>
      <c r="U60" s="663"/>
      <c r="V60" s="663"/>
      <c r="W60" s="663"/>
      <c r="X60" s="663"/>
      <c r="Y60" s="663"/>
      <c r="Z60" s="663"/>
      <c r="AA60" s="663"/>
      <c r="AB60" s="663"/>
      <c r="AC60" s="663"/>
      <c r="AD60" s="663"/>
      <c r="AE60" s="663"/>
      <c r="AF60" s="663"/>
      <c r="AG60" s="663"/>
      <c r="AH60" s="663"/>
    </row>
    <row r="61" ht="15" customHeight="1">
      <c r="A61" s="682"/>
      <c r="B61" s="664">
        <v>76</v>
      </c>
      <c r="C61" s="665">
        <f>'Planner Worksheet'!G21+C60</f>
        <v>7</v>
      </c>
      <c r="D61" t="s" s="666">
        <v>217</v>
      </c>
      <c r="E61" t="s" s="666">
        <v>203</v>
      </c>
      <c r="F61" s="663"/>
      <c r="G61" s="663"/>
      <c r="H61" t="s" s="666">
        <f>IF('Planner Worksheet'!$G$16=TRUNC(B61/10),IF(I61="","",'Planner Worksheet'!$G$17+C61),"")</f>
      </c>
      <c r="I61" t="s" s="666">
        <v>283</v>
      </c>
      <c r="J61" s="663"/>
      <c r="K61" s="663"/>
      <c r="L61" s="678"/>
      <c r="M61" s="663"/>
      <c r="N61" s="663"/>
      <c r="O61" s="663"/>
      <c r="P61" s="663"/>
      <c r="Q61" s="663"/>
      <c r="R61" s="663"/>
      <c r="S61" s="663"/>
      <c r="T61" s="663"/>
      <c r="U61" s="663"/>
      <c r="V61" s="663"/>
      <c r="W61" s="663"/>
      <c r="X61" s="663"/>
      <c r="Y61" s="663"/>
      <c r="Z61" s="663"/>
      <c r="AA61" s="663"/>
      <c r="AB61" s="663"/>
      <c r="AC61" s="663"/>
      <c r="AD61" s="663"/>
      <c r="AE61" s="663"/>
      <c r="AF61" s="663"/>
      <c r="AG61" s="663"/>
      <c r="AH61" s="663"/>
    </row>
    <row r="62" ht="15" customHeight="1">
      <c r="A62" s="682"/>
      <c r="B62" s="664">
        <v>77</v>
      </c>
      <c r="C62" s="665">
        <v>23</v>
      </c>
      <c r="D62" t="s" s="666">
        <v>218</v>
      </c>
      <c r="E62" s="663"/>
      <c r="F62" s="663"/>
      <c r="G62" s="663"/>
      <c r="H62" s="663">
        <f>23+H58</f>
      </c>
      <c r="I62" t="s" s="666">
        <v>289</v>
      </c>
      <c r="J62" s="663"/>
      <c r="K62" s="663"/>
      <c r="L62" s="678"/>
      <c r="M62" s="663"/>
      <c r="N62" s="663"/>
      <c r="O62" s="663"/>
      <c r="P62" s="663"/>
      <c r="Q62" s="663"/>
      <c r="R62" s="663"/>
      <c r="S62" s="663"/>
      <c r="T62" s="663"/>
      <c r="U62" s="663"/>
      <c r="V62" s="663"/>
      <c r="W62" s="663"/>
      <c r="X62" s="663"/>
      <c r="Y62" s="663"/>
      <c r="Z62" s="663"/>
      <c r="AA62" s="663"/>
      <c r="AB62" s="663"/>
      <c r="AC62" s="663"/>
      <c r="AD62" s="663"/>
      <c r="AE62" s="663"/>
      <c r="AF62" s="663"/>
      <c r="AG62" s="663"/>
      <c r="AH62" s="663"/>
    </row>
    <row r="63" ht="15" customHeight="1">
      <c r="A63" s="663"/>
      <c r="B63" s="664">
        <v>78</v>
      </c>
      <c r="C63" s="665"/>
      <c r="D63" s="663"/>
      <c r="E63" s="663"/>
      <c r="F63" s="663"/>
      <c r="G63" s="663"/>
      <c r="H63" s="667"/>
      <c r="I63" s="663"/>
      <c r="J63" s="663"/>
      <c r="K63" s="663"/>
      <c r="L63" s="678"/>
      <c r="M63" s="663"/>
      <c r="N63" s="663"/>
      <c r="O63" s="663"/>
      <c r="P63" s="663"/>
      <c r="Q63" s="663"/>
      <c r="R63" s="663"/>
      <c r="S63" s="663"/>
      <c r="T63" s="663"/>
      <c r="U63" s="663"/>
      <c r="V63" s="663"/>
      <c r="W63" s="663"/>
      <c r="X63" s="663"/>
      <c r="Y63" s="663"/>
      <c r="Z63" s="663"/>
      <c r="AA63" s="663"/>
      <c r="AB63" s="663"/>
      <c r="AC63" s="663"/>
      <c r="AD63" s="663"/>
      <c r="AE63" s="663"/>
      <c r="AF63" s="663"/>
      <c r="AG63" s="663"/>
      <c r="AH63" s="663"/>
    </row>
    <row r="64" ht="15" customHeight="1">
      <c r="A64" s="668"/>
      <c r="B64" s="669">
        <v>79</v>
      </c>
      <c r="C64" s="670"/>
      <c r="D64" s="668"/>
      <c r="E64" s="668"/>
      <c r="F64" s="668"/>
      <c r="G64" s="668"/>
      <c r="H64" s="671"/>
      <c r="I64" s="668"/>
      <c r="J64" s="668"/>
      <c r="K64" s="668"/>
      <c r="L64" s="679"/>
      <c r="M64" s="668"/>
      <c r="N64" s="668"/>
      <c r="O64" s="668"/>
      <c r="P64" s="668"/>
      <c r="Q64" s="668"/>
      <c r="R64" s="668"/>
      <c r="S64" s="668"/>
      <c r="T64" s="668"/>
      <c r="U64" s="668"/>
      <c r="V64" s="668"/>
      <c r="W64" s="668"/>
      <c r="X64" s="668"/>
      <c r="Y64" s="668"/>
      <c r="Z64" s="668"/>
      <c r="AA64" s="668"/>
      <c r="AB64" s="668"/>
      <c r="AC64" s="668"/>
      <c r="AD64" s="668"/>
      <c r="AE64" s="668"/>
      <c r="AF64" s="668"/>
      <c r="AG64" s="668"/>
      <c r="AH64" s="668"/>
    </row>
    <row r="65" ht="15" customHeight="1">
      <c r="A65" s="676">
        <f>H67-2</f>
      </c>
      <c r="B65" s="673">
        <v>81</v>
      </c>
      <c r="C65" s="674">
        <v>-32</v>
      </c>
      <c r="D65" t="s" s="675">
        <v>371</v>
      </c>
      <c r="E65" s="676">
        <f>CONCATENATE("Continue feeding until ",MONTH(A65),"/",DAY(A65),"/",YEAR(A65),".")</f>
      </c>
      <c r="F65" s="676"/>
      <c r="G65" s="676"/>
      <c r="H65" s="680"/>
      <c r="I65" s="676"/>
      <c r="J65" s="676"/>
      <c r="K65" s="676"/>
      <c r="L65" s="677"/>
      <c r="M65" s="676"/>
      <c r="N65" s="676"/>
      <c r="O65" s="676"/>
      <c r="P65" s="676"/>
      <c r="Q65" s="676"/>
      <c r="R65" s="676"/>
      <c r="S65" s="676"/>
      <c r="T65" s="676"/>
      <c r="U65" s="676"/>
      <c r="V65" s="676"/>
      <c r="W65" s="676"/>
      <c r="X65" s="676"/>
      <c r="Y65" s="676"/>
      <c r="Z65" s="676"/>
      <c r="AA65" s="676"/>
      <c r="AB65" s="676"/>
      <c r="AC65" s="676"/>
      <c r="AD65" s="676"/>
      <c r="AE65" s="676"/>
      <c r="AF65" s="676"/>
      <c r="AG65" s="676"/>
      <c r="AH65" s="676"/>
    </row>
    <row r="66" ht="15" customHeight="1">
      <c r="A66" s="663"/>
      <c r="B66" s="664">
        <v>82</v>
      </c>
      <c r="C66" s="665">
        <v>-19</v>
      </c>
      <c r="D66" t="s" s="666">
        <v>374</v>
      </c>
      <c r="E66" s="663"/>
      <c r="F66" s="663"/>
      <c r="G66" s="663"/>
      <c r="H66" s="667"/>
      <c r="I66" s="663"/>
      <c r="J66" s="663"/>
      <c r="K66" s="663"/>
      <c r="L66" s="678"/>
      <c r="M66" s="663"/>
      <c r="N66" s="663"/>
      <c r="O66" s="663"/>
      <c r="P66" s="663"/>
      <c r="Q66" s="663"/>
      <c r="R66" s="663"/>
      <c r="S66" s="663"/>
      <c r="T66" s="663"/>
      <c r="U66" s="663"/>
      <c r="V66" s="663"/>
      <c r="W66" s="663"/>
      <c r="X66" s="663"/>
      <c r="Y66" s="663"/>
      <c r="Z66" s="663"/>
      <c r="AA66" s="663"/>
      <c r="AB66" s="663"/>
      <c r="AC66" s="663"/>
      <c r="AD66" s="663"/>
      <c r="AE66" s="663"/>
      <c r="AF66" s="663"/>
      <c r="AG66" s="663"/>
      <c r="AH66" s="663"/>
    </row>
    <row r="67" ht="15" customHeight="1">
      <c r="A67" s="663"/>
      <c r="B67" s="664">
        <v>83</v>
      </c>
      <c r="C67" s="665">
        <v>-17</v>
      </c>
      <c r="D67" t="s" s="666">
        <v>377</v>
      </c>
      <c r="E67" s="663"/>
      <c r="F67" s="663"/>
      <c r="G67" s="663"/>
      <c r="H67" t="s" s="666">
        <f>IF('Planner Worksheet'!$G$16=TRUNC(B67/10),IF(I67="","",'Planner Worksheet'!$G$17+C67),"")</f>
      </c>
      <c r="I67" t="s" s="666">
        <v>378</v>
      </c>
      <c r="J67" s="663"/>
      <c r="K67" s="663"/>
      <c r="L67" s="678"/>
      <c r="M67" s="663"/>
      <c r="N67" s="663"/>
      <c r="O67" s="663"/>
      <c r="P67" s="663"/>
      <c r="Q67" s="663"/>
      <c r="R67" s="663"/>
      <c r="S67" s="663"/>
      <c r="T67" s="663"/>
      <c r="U67" s="663"/>
      <c r="V67" s="663"/>
      <c r="W67" s="663"/>
      <c r="X67" s="663"/>
      <c r="Y67" s="663"/>
      <c r="Z67" s="663"/>
      <c r="AA67" s="663"/>
      <c r="AB67" s="663"/>
      <c r="AC67" s="663"/>
      <c r="AD67" s="663"/>
      <c r="AE67" s="663"/>
      <c r="AF67" s="663"/>
      <c r="AG67" s="663"/>
      <c r="AH67" s="663"/>
    </row>
    <row r="68" ht="15" customHeight="1">
      <c r="A68" s="663"/>
      <c r="B68" s="664">
        <v>84</v>
      </c>
      <c r="C68" s="665">
        <v>-7</v>
      </c>
      <c r="D68" t="s" s="666">
        <f>"Inject "&amp;'Planner Worksheet'!L19&amp;" (GnRH) to all females."</f>
        <v>382</v>
      </c>
      <c r="E68" s="663"/>
      <c r="F68" s="663"/>
      <c r="G68" s="663"/>
      <c r="H68" t="s" s="666">
        <f>IF('Planner Worksheet'!$G$16=TRUNC(B68/10),IF(I68="","",'Planner Worksheet'!$G$17+C68),"")</f>
      </c>
      <c r="I68" t="s" s="666">
        <f>"* Inject "&amp;'Planner Worksheet'!L19&amp;" to all females"</f>
        <v>383</v>
      </c>
      <c r="J68" s="663"/>
      <c r="K68" s="663"/>
      <c r="L68" s="678"/>
      <c r="M68" s="663"/>
      <c r="N68" s="663"/>
      <c r="O68" s="663"/>
      <c r="P68" s="663"/>
      <c r="Q68" s="663"/>
      <c r="R68" s="663"/>
      <c r="S68" s="663"/>
      <c r="T68" s="663"/>
      <c r="U68" s="663"/>
      <c r="V68" s="663"/>
      <c r="W68" s="663"/>
      <c r="X68" s="663"/>
      <c r="Y68" s="663"/>
      <c r="Z68" s="663"/>
      <c r="AA68" s="663"/>
      <c r="AB68" s="663"/>
      <c r="AC68" s="663"/>
      <c r="AD68" s="663"/>
      <c r="AE68" s="663"/>
      <c r="AF68" s="663"/>
      <c r="AG68" s="663"/>
      <c r="AH68" s="663"/>
    </row>
    <row r="69" ht="15" customHeight="1">
      <c r="A69" s="663"/>
      <c r="B69" s="664">
        <v>85</v>
      </c>
      <c r="C69" s="665">
        <v>0</v>
      </c>
      <c r="D69" t="s" s="666">
        <f>"Inject "&amp;'Planner Worksheet'!L20&amp;" (PG) to all females."</f>
        <v>334</v>
      </c>
      <c r="E69" t="s" s="666">
        <v>257</v>
      </c>
      <c r="F69" t="s" s="666">
        <v>258</v>
      </c>
      <c r="G69" s="663"/>
      <c r="H69" t="s" s="666">
        <f>IF('Planner Worksheet'!$G$16=TRUNC(B69/10),IF(I69="","",'Planner Worksheet'!$G$17+C69),"")</f>
      </c>
      <c r="I69" t="s" s="666">
        <f>"* inject "&amp;'Planner Worksheet'!L20&amp;"- all females"</f>
        <v>379</v>
      </c>
      <c r="J69" s="663"/>
      <c r="K69" s="663"/>
      <c r="L69" s="678"/>
      <c r="M69" s="663"/>
      <c r="N69" s="663"/>
      <c r="O69" s="663"/>
      <c r="P69" s="663"/>
      <c r="Q69" s="663"/>
      <c r="R69" s="663"/>
      <c r="S69" s="663"/>
      <c r="T69" s="663"/>
      <c r="U69" s="663"/>
      <c r="V69" s="663"/>
      <c r="W69" s="663"/>
      <c r="X69" s="663"/>
      <c r="Y69" s="663"/>
      <c r="Z69" s="663"/>
      <c r="AA69" s="663"/>
      <c r="AB69" s="663"/>
      <c r="AC69" s="663"/>
      <c r="AD69" s="663"/>
      <c r="AE69" s="663"/>
      <c r="AF69" s="663"/>
      <c r="AG69" s="663"/>
      <c r="AH69" s="663"/>
    </row>
    <row r="70" ht="15" customHeight="1">
      <c r="A70" s="663"/>
      <c r="B70" s="664">
        <v>86</v>
      </c>
      <c r="C70" s="665">
        <v>1</v>
      </c>
      <c r="D70" t="s" s="666">
        <v>272</v>
      </c>
      <c r="E70" t="s" s="666">
        <v>258</v>
      </c>
      <c r="F70" s="663"/>
      <c r="G70" s="663"/>
      <c r="H70" s="667"/>
      <c r="I70" s="663"/>
      <c r="J70" s="663"/>
      <c r="K70" s="663"/>
      <c r="L70" s="678"/>
      <c r="M70" s="663"/>
      <c r="N70" s="663"/>
      <c r="O70" s="663"/>
      <c r="P70" s="663"/>
      <c r="Q70" s="663"/>
      <c r="R70" s="663"/>
      <c r="S70" s="663"/>
      <c r="T70" s="663"/>
      <c r="U70" s="663"/>
      <c r="V70" s="663"/>
      <c r="W70" s="663"/>
      <c r="X70" s="663"/>
      <c r="Y70" s="663"/>
      <c r="Z70" s="663"/>
      <c r="AA70" s="663"/>
      <c r="AB70" s="663"/>
      <c r="AC70" s="663"/>
      <c r="AD70" s="663"/>
      <c r="AE70" s="663"/>
      <c r="AF70" s="663"/>
      <c r="AG70" s="663"/>
      <c r="AH70" s="663"/>
    </row>
    <row r="71" ht="15" customHeight="1">
      <c r="A71" s="663"/>
      <c r="B71" s="664">
        <v>87</v>
      </c>
      <c r="C71" s="665">
        <v>2</v>
      </c>
      <c r="D71" t="s" s="666">
        <v>356</v>
      </c>
      <c r="E71" t="s" s="666">
        <v>272</v>
      </c>
      <c r="F71" t="s" s="666">
        <v>258</v>
      </c>
      <c r="G71" s="663"/>
      <c r="H71" t="s" s="666">
        <f>IF('Planner Worksheet'!$G$16=TRUNC(B71/10),IF(I71="","",'Planner Worksheet'!$G$17+C71),"")</f>
      </c>
      <c r="I71" t="s" s="666">
        <v>357</v>
      </c>
      <c r="J71" s="663"/>
      <c r="K71" s="663"/>
      <c r="L71" s="678"/>
      <c r="M71" s="663"/>
      <c r="N71" s="663"/>
      <c r="O71" s="663"/>
      <c r="P71" s="663"/>
      <c r="Q71" s="663"/>
      <c r="R71" s="663"/>
      <c r="S71" s="663"/>
      <c r="T71" s="663"/>
      <c r="U71" s="663"/>
      <c r="V71" s="663"/>
      <c r="W71" s="663"/>
      <c r="X71" s="663"/>
      <c r="Y71" s="663"/>
      <c r="Z71" s="663"/>
      <c r="AA71" s="663"/>
      <c r="AB71" s="663"/>
      <c r="AC71" s="663"/>
      <c r="AD71" s="663"/>
      <c r="AE71" s="663"/>
      <c r="AF71" s="663"/>
      <c r="AG71" s="663"/>
      <c r="AH71" s="663"/>
    </row>
    <row r="72" ht="15" customHeight="1">
      <c r="A72" s="663"/>
      <c r="B72" s="664">
        <v>88</v>
      </c>
      <c r="C72" s="665">
        <v>5</v>
      </c>
      <c r="D72" t="s" s="666">
        <v>276</v>
      </c>
      <c r="E72" t="s" s="666">
        <v>277</v>
      </c>
      <c r="F72" s="663"/>
      <c r="G72" s="663"/>
      <c r="H72" s="667"/>
      <c r="I72" s="663"/>
      <c r="J72" s="663"/>
      <c r="K72" s="663"/>
      <c r="L72" s="678"/>
      <c r="M72" s="663"/>
      <c r="N72" s="663"/>
      <c r="O72" s="663"/>
      <c r="P72" s="663"/>
      <c r="Q72" s="663"/>
      <c r="R72" s="663"/>
      <c r="S72" s="663"/>
      <c r="T72" s="663"/>
      <c r="U72" s="663"/>
      <c r="V72" s="663"/>
      <c r="W72" s="663"/>
      <c r="X72" s="663"/>
      <c r="Y72" s="663"/>
      <c r="Z72" s="663"/>
      <c r="AA72" s="663"/>
      <c r="AB72" s="663"/>
      <c r="AC72" s="663"/>
      <c r="AD72" s="663"/>
      <c r="AE72" s="663"/>
      <c r="AF72" s="663"/>
      <c r="AG72" s="663"/>
      <c r="AH72" s="663"/>
    </row>
    <row r="73" ht="15" customHeight="1">
      <c r="A73" s="668"/>
      <c r="B73" s="669">
        <v>89</v>
      </c>
      <c r="C73" s="670">
        <f>'Planner Worksheet'!G21+C72</f>
        <v>5</v>
      </c>
      <c r="D73" t="s" s="681">
        <v>217</v>
      </c>
      <c r="E73" t="s" s="681">
        <v>203</v>
      </c>
      <c r="F73" s="668"/>
      <c r="G73" s="668"/>
      <c r="H73" t="s" s="681">
        <f>IF('Planner Worksheet'!$G$16=TRUNC(B73/10),IF(I73="","",'Planner Worksheet'!$G$17+C73),"")</f>
      </c>
      <c r="I73" t="s" s="681">
        <v>283</v>
      </c>
      <c r="J73" s="668"/>
      <c r="K73" s="668"/>
      <c r="L73" s="679"/>
      <c r="M73" s="668"/>
      <c r="N73" s="668"/>
      <c r="O73" s="668"/>
      <c r="P73" s="668"/>
      <c r="Q73" s="668"/>
      <c r="R73" s="668"/>
      <c r="S73" s="668"/>
      <c r="T73" s="668"/>
      <c r="U73" s="668"/>
      <c r="V73" s="668"/>
      <c r="W73" s="668"/>
      <c r="X73" s="668"/>
      <c r="Y73" s="668"/>
      <c r="Z73" s="668"/>
      <c r="AA73" s="668"/>
      <c r="AB73" s="668"/>
      <c r="AC73" s="668"/>
      <c r="AD73" s="668"/>
      <c r="AE73" s="668"/>
      <c r="AF73" s="668"/>
      <c r="AG73" s="668"/>
      <c r="AH73" s="668"/>
    </row>
    <row r="74" ht="15" customHeight="1">
      <c r="A74" s="676">
        <f>H76-2</f>
      </c>
      <c r="B74" s="673">
        <v>91</v>
      </c>
      <c r="C74" s="674">
        <v>-32</v>
      </c>
      <c r="D74" t="s" s="675">
        <v>371</v>
      </c>
      <c r="E74" s="676">
        <f>CONCATENATE("Continue feeding until ",MONTH(A74),"/",DAY(A74),"/",YEAR(A74),".")</f>
      </c>
      <c r="F74" s="676"/>
      <c r="G74" s="676"/>
      <c r="H74" s="680"/>
      <c r="I74" s="676"/>
      <c r="J74" s="676"/>
      <c r="K74" s="676"/>
      <c r="L74" s="677"/>
      <c r="M74" s="676"/>
      <c r="N74" s="676"/>
      <c r="O74" s="676"/>
      <c r="P74" s="676"/>
      <c r="Q74" s="676"/>
      <c r="R74" s="676"/>
      <c r="S74" s="676"/>
      <c r="T74" s="676"/>
      <c r="U74" s="676"/>
      <c r="V74" s="676"/>
      <c r="W74" s="676"/>
      <c r="X74" s="676"/>
      <c r="Y74" s="676"/>
      <c r="Z74" s="676"/>
      <c r="AA74" s="676"/>
      <c r="AB74" s="676"/>
      <c r="AC74" s="676"/>
      <c r="AD74" s="676"/>
      <c r="AE74" s="676"/>
      <c r="AF74" s="676"/>
      <c r="AG74" s="676"/>
      <c r="AH74" s="676"/>
    </row>
    <row r="75" ht="15" customHeight="1">
      <c r="A75" s="663"/>
      <c r="B75" s="664">
        <v>92</v>
      </c>
      <c r="C75" s="665">
        <v>-19</v>
      </c>
      <c r="D75" t="s" s="666">
        <v>374</v>
      </c>
      <c r="E75" s="663"/>
      <c r="F75" s="663"/>
      <c r="G75" s="663"/>
      <c r="H75" s="667"/>
      <c r="I75" s="663"/>
      <c r="J75" s="663"/>
      <c r="K75" s="663"/>
      <c r="L75" s="678"/>
      <c r="M75" s="663"/>
      <c r="N75" s="663"/>
      <c r="O75" s="663"/>
      <c r="P75" s="663"/>
      <c r="Q75" s="663"/>
      <c r="R75" s="663"/>
      <c r="S75" s="663"/>
      <c r="T75" s="663"/>
      <c r="U75" s="663"/>
      <c r="V75" s="663"/>
      <c r="W75" s="663"/>
      <c r="X75" s="663"/>
      <c r="Y75" s="663"/>
      <c r="Z75" s="663"/>
      <c r="AA75" s="663"/>
      <c r="AB75" s="663"/>
      <c r="AC75" s="663"/>
      <c r="AD75" s="663"/>
      <c r="AE75" s="663"/>
      <c r="AF75" s="663"/>
      <c r="AG75" s="663"/>
      <c r="AH75" s="663"/>
    </row>
    <row r="76" ht="15" customHeight="1">
      <c r="A76" s="663"/>
      <c r="B76" s="664">
        <v>93</v>
      </c>
      <c r="C76" s="665">
        <v>-17</v>
      </c>
      <c r="D76" t="s" s="666">
        <v>377</v>
      </c>
      <c r="E76" s="663"/>
      <c r="F76" s="663"/>
      <c r="G76" s="663"/>
      <c r="H76" t="s" s="666">
        <f>IF('Planner Worksheet'!$G$16=TRUNC(B76/10),IF(I76="","",'Planner Worksheet'!$G$17+C76),"")</f>
      </c>
      <c r="I76" t="s" s="666">
        <v>378</v>
      </c>
      <c r="J76" s="663"/>
      <c r="K76" s="663"/>
      <c r="L76" s="678"/>
      <c r="M76" s="663"/>
      <c r="N76" s="663"/>
      <c r="O76" s="663"/>
      <c r="P76" s="663"/>
      <c r="Q76" s="663"/>
      <c r="R76" s="663"/>
      <c r="S76" s="663"/>
      <c r="T76" s="663"/>
      <c r="U76" s="663"/>
      <c r="V76" s="663"/>
      <c r="W76" s="663"/>
      <c r="X76" s="663"/>
      <c r="Y76" s="663"/>
      <c r="Z76" s="663"/>
      <c r="AA76" s="663"/>
      <c r="AB76" s="663"/>
      <c r="AC76" s="663"/>
      <c r="AD76" s="663"/>
      <c r="AE76" s="663"/>
      <c r="AF76" s="663"/>
      <c r="AG76" s="663"/>
      <c r="AH76" s="663"/>
    </row>
    <row r="77" ht="15" customHeight="1">
      <c r="A77" s="663"/>
      <c r="B77" s="664">
        <v>94</v>
      </c>
      <c r="C77" s="665">
        <v>-7</v>
      </c>
      <c r="D77" t="s" s="666">
        <f>"Inject "&amp;'Planner Worksheet'!L19&amp;" (GnRH) to all females."</f>
        <v>382</v>
      </c>
      <c r="E77" s="663"/>
      <c r="F77" s="663"/>
      <c r="G77" s="663"/>
      <c r="H77" t="s" s="666">
        <f>IF('Planner Worksheet'!$G$16=TRUNC(B77/10),IF(I77="","",'Planner Worksheet'!$G$17+C77),"")</f>
      </c>
      <c r="I77" t="s" s="666">
        <f>"* Inject "&amp;'Planner Worksheet'!L19&amp;" to all females"</f>
        <v>383</v>
      </c>
      <c r="J77" s="663"/>
      <c r="K77" s="663"/>
      <c r="L77" s="678"/>
      <c r="M77" s="663"/>
      <c r="N77" s="663"/>
      <c r="O77" s="663"/>
      <c r="P77" s="663"/>
      <c r="Q77" s="663"/>
      <c r="R77" s="663"/>
      <c r="S77" s="663"/>
      <c r="T77" s="663"/>
      <c r="U77" s="663"/>
      <c r="V77" s="663"/>
      <c r="W77" s="663"/>
      <c r="X77" s="663"/>
      <c r="Y77" s="663"/>
      <c r="Z77" s="663"/>
      <c r="AA77" s="663"/>
      <c r="AB77" s="663"/>
      <c r="AC77" s="663"/>
      <c r="AD77" s="663"/>
      <c r="AE77" s="663"/>
      <c r="AF77" s="663"/>
      <c r="AG77" s="663"/>
      <c r="AH77" s="663"/>
    </row>
    <row r="78" ht="15" customHeight="1">
      <c r="A78" s="663">
        <f>H78+E78</f>
      </c>
      <c r="B78" s="664">
        <v>95</v>
      </c>
      <c r="C78" s="665">
        <v>0</v>
      </c>
      <c r="D78" t="s" s="666">
        <f>"Inject "&amp;'Planner Worksheet'!L20&amp;" (PG) to all females at: "</f>
        <v>386</v>
      </c>
      <c r="E78" s="683">
        <f>'Planner Worksheet'!G18</f>
        <v>0.4166666666666666</v>
      </c>
      <c r="F78" t="s" s="666">
        <v>257</v>
      </c>
      <c r="G78" t="s" s="666">
        <v>258</v>
      </c>
      <c r="H78" t="s" s="666">
        <f>IF('Planner Worksheet'!$G$16=TRUNC(B78/10),IF(I78="","",'Planner Worksheet'!$G$17+C78),"")</f>
      </c>
      <c r="I78" t="s" s="666">
        <f>"* Inject "&amp;'Planner Worksheet'!L20&amp;"- all females"</f>
        <v>335</v>
      </c>
      <c r="J78" s="663"/>
      <c r="K78" s="663"/>
      <c r="L78" s="678"/>
      <c r="M78" s="663"/>
      <c r="N78" s="663"/>
      <c r="O78" s="663"/>
      <c r="P78" s="663"/>
      <c r="Q78" s="663"/>
      <c r="R78" s="663"/>
      <c r="S78" s="663"/>
      <c r="T78" s="663"/>
      <c r="U78" s="663"/>
      <c r="V78" s="663"/>
      <c r="W78" s="663"/>
      <c r="X78" s="663"/>
      <c r="Y78" s="663"/>
      <c r="Z78" s="663"/>
      <c r="AA78" s="663"/>
      <c r="AB78" s="663"/>
      <c r="AC78" s="663"/>
      <c r="AD78" s="663"/>
      <c r="AE78" s="663"/>
      <c r="AF78" s="663"/>
      <c r="AG78" s="663"/>
      <c r="AH78" s="663"/>
    </row>
    <row r="79" ht="15" customHeight="1">
      <c r="A79" s="663"/>
      <c r="B79" s="664">
        <v>96</v>
      </c>
      <c r="C79" s="665">
        <v>1</v>
      </c>
      <c r="D79" t="s" s="666">
        <v>272</v>
      </c>
      <c r="E79" t="s" s="666">
        <v>258</v>
      </c>
      <c r="F79" s="663"/>
      <c r="G79" s="663"/>
      <c r="H79" s="667"/>
      <c r="I79" s="683"/>
      <c r="J79" s="663"/>
      <c r="K79" s="663"/>
      <c r="L79" s="678"/>
      <c r="M79" s="663"/>
      <c r="N79" s="663"/>
      <c r="O79" s="663"/>
      <c r="P79" s="663"/>
      <c r="Q79" s="663"/>
      <c r="R79" s="663"/>
      <c r="S79" s="663"/>
      <c r="T79" s="663"/>
      <c r="U79" s="663"/>
      <c r="V79" s="663"/>
      <c r="W79" s="663"/>
      <c r="X79" s="663"/>
      <c r="Y79" s="663"/>
      <c r="Z79" s="663"/>
      <c r="AA79" s="663"/>
      <c r="AB79" s="663"/>
      <c r="AC79" s="663"/>
      <c r="AD79" s="663"/>
      <c r="AE79" s="663"/>
      <c r="AF79" s="663"/>
      <c r="AG79" s="663"/>
      <c r="AH79" s="663"/>
    </row>
    <row r="80" ht="15" customHeight="1">
      <c r="A80" s="663"/>
      <c r="B80" s="664">
        <v>97</v>
      </c>
      <c r="C80" s="665">
        <v>2</v>
      </c>
      <c r="D80" t="s" s="666">
        <v>272</v>
      </c>
      <c r="E80" t="s" s="666">
        <v>258</v>
      </c>
      <c r="F80" s="663"/>
      <c r="G80" s="663"/>
      <c r="H80" t="s" s="666">
        <f>IF('Planner Worksheet'!$G$16=TRUNC(B80/10),IF(I80="","",'Planner Worksheet'!$G$17+C80),"")</f>
      </c>
      <c r="I80" s="663"/>
      <c r="J80" s="663"/>
      <c r="K80" s="663"/>
      <c r="L80" s="678"/>
      <c r="M80" s="663"/>
      <c r="N80" s="663"/>
      <c r="O80" s="663"/>
      <c r="P80" s="663"/>
      <c r="Q80" s="663"/>
      <c r="R80" s="663"/>
      <c r="S80" s="663"/>
      <c r="T80" s="663"/>
      <c r="U80" s="663"/>
      <c r="V80" s="663"/>
      <c r="W80" s="663"/>
      <c r="X80" s="663"/>
      <c r="Y80" s="663"/>
      <c r="Z80" s="663"/>
      <c r="AA80" s="663"/>
      <c r="AB80" s="663"/>
      <c r="AC80" s="663"/>
      <c r="AD80" s="663"/>
      <c r="AE80" s="663"/>
      <c r="AF80" s="663"/>
      <c r="AG80" s="663"/>
      <c r="AH80" s="663"/>
    </row>
    <row r="81" ht="15" customHeight="1">
      <c r="A81" s="663"/>
      <c r="B81" s="664">
        <v>98</v>
      </c>
      <c r="C81" s="665">
        <f t="shared" si="90" ref="C81:C222">3</f>
        <v>3</v>
      </c>
      <c r="D81" t="s" s="666">
        <v>276</v>
      </c>
      <c r="E81" t="s" s="666">
        <f>"For females not detected in heat, inject "&amp;'Planner Worksheet'!L19&amp;" (GnRH) &amp; inseminate between the hours:"</f>
        <v>387</v>
      </c>
      <c r="F81" s="663">
        <f>A78+3</f>
      </c>
      <c r="G81" s="663">
        <f>F81+TIME(12,0,0)</f>
      </c>
      <c r="H81" t="s" s="666">
        <f>IF('Planner Worksheet'!$G$16=TRUNC(B81/10),IF(I81="","",'Planner Worksheet'!$G$17+C81),"")</f>
      </c>
      <c r="I81" t="s" s="666">
        <f>"** Inject "&amp;'Planner Worksheet'!L19&amp;" &amp; Clean-up AI (72-84 hrs after "&amp;'Planner Worksheet'!L20&amp;" )"</f>
        <v>388</v>
      </c>
      <c r="J81" s="663"/>
      <c r="K81" s="663"/>
      <c r="L81" s="678"/>
      <c r="M81" s="663"/>
      <c r="N81" s="663"/>
      <c r="O81" s="663"/>
      <c r="P81" s="663"/>
      <c r="Q81" s="663"/>
      <c r="R81" s="663"/>
      <c r="S81" s="663"/>
      <c r="T81" s="663"/>
      <c r="U81" s="663"/>
      <c r="V81" s="663"/>
      <c r="W81" s="663"/>
      <c r="X81" s="663"/>
      <c r="Y81" s="663"/>
      <c r="Z81" s="663"/>
      <c r="AA81" s="663"/>
      <c r="AB81" s="663"/>
      <c r="AC81" s="663"/>
      <c r="AD81" s="663"/>
      <c r="AE81" s="663"/>
      <c r="AF81" s="663"/>
      <c r="AG81" s="663"/>
      <c r="AH81" s="663"/>
    </row>
    <row r="82" ht="15" customHeight="1">
      <c r="A82" s="668"/>
      <c r="B82" s="669">
        <v>99</v>
      </c>
      <c r="C82" s="670">
        <f>'Planner Worksheet'!G21+C81</f>
        <v>3</v>
      </c>
      <c r="D82" t="s" s="681">
        <v>217</v>
      </c>
      <c r="E82" t="s" s="681">
        <v>203</v>
      </c>
      <c r="F82" s="668"/>
      <c r="G82" s="668"/>
      <c r="H82" t="s" s="681">
        <f>IF('Planner Worksheet'!$G$16=TRUNC(B82/10),IF(I82="","",'Planner Worksheet'!$G$17+C82),"")</f>
      </c>
      <c r="I82" t="s" s="681">
        <v>283</v>
      </c>
      <c r="J82" s="668"/>
      <c r="K82" s="668"/>
      <c r="L82" s="679"/>
      <c r="M82" s="668"/>
      <c r="N82" s="668"/>
      <c r="O82" s="668"/>
      <c r="P82" s="668"/>
      <c r="Q82" s="668"/>
      <c r="R82" s="668"/>
      <c r="S82" s="668"/>
      <c r="T82" s="668"/>
      <c r="U82" s="668"/>
      <c r="V82" s="668"/>
      <c r="W82" s="668"/>
      <c r="X82" s="668"/>
      <c r="Y82" s="668"/>
      <c r="Z82" s="668"/>
      <c r="AA82" s="668"/>
      <c r="AB82" s="668"/>
      <c r="AC82" s="668"/>
      <c r="AD82" s="668"/>
      <c r="AE82" s="668"/>
      <c r="AF82" s="668"/>
      <c r="AG82" s="668"/>
      <c r="AH82" s="668"/>
    </row>
    <row r="83" ht="15" customHeight="1">
      <c r="A83" s="676">
        <f>ROUNDUP((A85-A84)*-1,0)</f>
      </c>
      <c r="B83" s="673">
        <v>101</v>
      </c>
      <c r="C83" s="674">
        <v>-9</v>
      </c>
      <c r="D83" t="s" s="675">
        <f>"Inject "&amp;'Planner Worksheet'!L19&amp;" (GnRH) to all females."</f>
        <v>382</v>
      </c>
      <c r="E83" s="676"/>
      <c r="F83" s="676"/>
      <c r="G83" s="676"/>
      <c r="H83" t="s" s="675">
        <f>IF('Planner Worksheet'!$G$16=TRUNC(B83/10),IF(I83="","",'Planner Worksheet'!$G$17+C83),"")</f>
      </c>
      <c r="I83" t="s" s="675">
        <f>"* Inject "&amp;'Planner Worksheet'!L19&amp;" to all females"</f>
        <v>383</v>
      </c>
      <c r="J83" s="676"/>
      <c r="K83" s="676"/>
      <c r="L83" s="677"/>
      <c r="M83" s="676"/>
      <c r="N83" s="676"/>
      <c r="O83" s="676"/>
      <c r="P83" s="676"/>
      <c r="Q83" s="676"/>
      <c r="R83" s="676"/>
      <c r="S83" s="676"/>
      <c r="T83" s="676"/>
      <c r="U83" s="676"/>
      <c r="V83" s="676"/>
      <c r="W83" s="676"/>
      <c r="X83" s="676"/>
      <c r="Y83" s="676"/>
      <c r="Z83" s="676"/>
      <c r="AA83" s="676"/>
      <c r="AB83" s="676"/>
      <c r="AC83" s="676"/>
      <c r="AD83" s="676"/>
      <c r="AE83" s="676"/>
      <c r="AF83" s="676"/>
      <c r="AG83" s="676"/>
      <c r="AH83" s="676"/>
    </row>
    <row r="84" ht="15" customHeight="1">
      <c r="A84" s="663">
        <f>A85-48/24</f>
      </c>
      <c r="B84" s="664">
        <v>102</v>
      </c>
      <c r="C84" s="684">
        <v>-2</v>
      </c>
      <c r="D84" t="s" s="666">
        <f>"Inject "&amp;'Planner Worksheet'!L20&amp;" (PG) to all females at: "</f>
        <v>386</v>
      </c>
      <c r="E84" s="685">
        <f>'Planner Worksheet'!G18</f>
        <v>0.4166666666666666</v>
      </c>
      <c r="F84" s="663"/>
      <c r="G84" s="663"/>
      <c r="H84" t="s" s="666">
        <f>IF('Planner Worksheet'!$G$16=TRUNC(B84/10),IF(I84="","",'Planner Worksheet'!$G$17+C84),"")</f>
      </c>
      <c r="I84" t="s" s="666">
        <f>"* Inject "&amp;'Planner Worksheet'!L20&amp;"- all females"</f>
        <v>335</v>
      </c>
      <c r="J84" s="663"/>
      <c r="K84" s="663"/>
      <c r="L84" s="678"/>
      <c r="M84" s="663"/>
      <c r="N84" s="663"/>
      <c r="O84" s="663"/>
      <c r="P84" s="663"/>
      <c r="Q84" s="663"/>
      <c r="R84" s="663"/>
      <c r="S84" s="663"/>
      <c r="T84" s="663"/>
      <c r="U84" s="663"/>
      <c r="V84" s="663"/>
      <c r="W84" s="663"/>
      <c r="X84" s="663"/>
      <c r="Y84" s="663"/>
      <c r="Z84" s="663"/>
      <c r="AA84" s="663"/>
      <c r="AB84" s="663"/>
      <c r="AC84" s="663"/>
      <c r="AD84" s="663"/>
      <c r="AE84" s="663"/>
      <c r="AF84" s="663"/>
      <c r="AG84" s="663"/>
      <c r="AH84" s="663"/>
    </row>
    <row r="85" ht="15" customHeight="1">
      <c r="A85" s="663">
        <f t="shared" si="107" ref="A85:A337">'Planner Worksheet'!$G$17+'Planner Worksheet'!$G$18</f>
      </c>
      <c r="B85" s="664">
        <v>103</v>
      </c>
      <c r="C85" s="665">
        <v>0</v>
      </c>
      <c r="D85" t="s" s="666">
        <f>"Inject "&amp;'Planner Worksheet'!L19&amp;" (GnRH) to all females "</f>
        <v>389</v>
      </c>
      <c r="E85" t="s" s="666">
        <v>216</v>
      </c>
      <c r="F85" s="663">
        <f>'Calendar'!D10</f>
      </c>
      <c r="G85" s="663">
        <f>'Calendar'!G10</f>
      </c>
      <c r="H85" t="s" s="666">
        <f>IF('Planner Worksheet'!$G$16=TRUNC(B85/10),IF(I85="","",'Planner Worksheet'!$G$17+C85),"")</f>
      </c>
      <c r="I85" t="s" s="666">
        <f>"** Inject "&amp;'Planner Worksheet'!L19&amp;" &amp; Fixed Time AI (48 hrs after "&amp;'Planner Worksheet'!L20&amp;" )"</f>
        <v>390</v>
      </c>
      <c r="J85" s="686"/>
      <c r="K85" s="663"/>
      <c r="L85" s="678"/>
      <c r="M85" s="663"/>
      <c r="N85" s="663"/>
      <c r="O85" s="663"/>
      <c r="P85" s="663"/>
      <c r="Q85" s="663"/>
      <c r="R85" s="663"/>
      <c r="S85" s="663"/>
      <c r="T85" s="663"/>
      <c r="U85" s="663"/>
      <c r="V85" s="663"/>
      <c r="W85" s="663"/>
      <c r="X85" s="663"/>
      <c r="Y85" s="663"/>
      <c r="Z85" s="663"/>
      <c r="AA85" s="663"/>
      <c r="AB85" s="663"/>
      <c r="AC85" s="663"/>
      <c r="AD85" s="663"/>
      <c r="AE85" s="663"/>
      <c r="AF85" s="663"/>
      <c r="AG85" s="663"/>
      <c r="AH85" s="663"/>
    </row>
    <row r="86" ht="15" customHeight="1">
      <c r="A86" s="663"/>
      <c r="B86" s="664">
        <v>104</v>
      </c>
      <c r="C86" s="665">
        <f>'Planner Worksheet'!G21</f>
        <v>0</v>
      </c>
      <c r="D86" t="s" s="666">
        <v>217</v>
      </c>
      <c r="E86" t="s" s="666">
        <v>203</v>
      </c>
      <c r="F86" s="663"/>
      <c r="G86" s="663"/>
      <c r="H86" t="s" s="666">
        <f>IF('Planner Worksheet'!$G$16=TRUNC(B86/10),IF(I86="","",'Planner Worksheet'!$G$17+C86),"")</f>
      </c>
      <c r="I86" t="s" s="666">
        <v>283</v>
      </c>
      <c r="J86" s="663"/>
      <c r="K86" s="663"/>
      <c r="L86" s="678"/>
      <c r="M86" s="663"/>
      <c r="N86" s="663"/>
      <c r="O86" s="663"/>
      <c r="P86" s="663"/>
      <c r="Q86" s="663"/>
      <c r="R86" s="663"/>
      <c r="S86" s="663"/>
      <c r="T86" s="663"/>
      <c r="U86" s="663"/>
      <c r="V86" s="663"/>
      <c r="W86" s="663"/>
      <c r="X86" s="663"/>
      <c r="Y86" s="663"/>
      <c r="Z86" s="663"/>
      <c r="AA86" s="663"/>
      <c r="AB86" s="663"/>
      <c r="AC86" s="663"/>
      <c r="AD86" s="663"/>
      <c r="AE86" s="663"/>
      <c r="AF86" s="663"/>
      <c r="AG86" s="663"/>
      <c r="AH86" s="663"/>
    </row>
    <row r="87" ht="15" customHeight="1">
      <c r="A87" s="663"/>
      <c r="B87" s="664">
        <v>105</v>
      </c>
      <c r="C87" s="665">
        <v>21</v>
      </c>
      <c r="D87" t="s" s="666">
        <v>218</v>
      </c>
      <c r="E87" s="663"/>
      <c r="F87" s="663"/>
      <c r="G87" s="663"/>
      <c r="H87" s="663">
        <f>23+H84</f>
      </c>
      <c r="I87" t="s" s="666">
        <v>289</v>
      </c>
      <c r="J87" s="663"/>
      <c r="K87" s="663"/>
      <c r="L87" s="678"/>
      <c r="M87" s="663"/>
      <c r="N87" s="663"/>
      <c r="O87" s="663"/>
      <c r="P87" s="663"/>
      <c r="Q87" s="663"/>
      <c r="R87" s="663"/>
      <c r="S87" s="663"/>
      <c r="T87" s="663"/>
      <c r="U87" s="663"/>
      <c r="V87" s="663"/>
      <c r="W87" s="663"/>
      <c r="X87" s="663"/>
      <c r="Y87" s="663"/>
      <c r="Z87" s="663"/>
      <c r="AA87" s="663"/>
      <c r="AB87" s="663"/>
      <c r="AC87" s="663"/>
      <c r="AD87" s="663"/>
      <c r="AE87" s="663"/>
      <c r="AF87" s="663"/>
      <c r="AG87" s="663"/>
      <c r="AH87" s="663"/>
    </row>
    <row r="88" ht="15" customHeight="1">
      <c r="A88" s="663"/>
      <c r="B88" s="664">
        <v>106</v>
      </c>
      <c r="C88" s="665"/>
      <c r="D88" s="663"/>
      <c r="E88" s="663"/>
      <c r="F88" s="663"/>
      <c r="G88" s="663"/>
      <c r="H88" s="667"/>
      <c r="I88" s="663"/>
      <c r="J88" s="663"/>
      <c r="K88" s="663"/>
      <c r="L88" s="678"/>
      <c r="M88" s="663"/>
      <c r="N88" s="663"/>
      <c r="O88" s="663"/>
      <c r="P88" s="663"/>
      <c r="Q88" s="663"/>
      <c r="R88" s="663"/>
      <c r="S88" s="663"/>
      <c r="T88" s="663"/>
      <c r="U88" s="663"/>
      <c r="V88" s="663"/>
      <c r="W88" s="663"/>
      <c r="X88" s="663"/>
      <c r="Y88" s="663"/>
      <c r="Z88" s="663"/>
      <c r="AA88" s="663"/>
      <c r="AB88" s="663"/>
      <c r="AC88" s="663"/>
      <c r="AD88" s="663"/>
      <c r="AE88" s="663"/>
      <c r="AF88" s="663"/>
      <c r="AG88" s="663"/>
      <c r="AH88" s="663"/>
    </row>
    <row r="89" ht="15" customHeight="1">
      <c r="A89" s="663"/>
      <c r="B89" s="664">
        <v>107</v>
      </c>
      <c r="C89" s="665"/>
      <c r="D89" s="663"/>
      <c r="E89" s="663"/>
      <c r="F89" s="663"/>
      <c r="G89" s="663"/>
      <c r="H89" s="667"/>
      <c r="I89" s="663"/>
      <c r="J89" s="663"/>
      <c r="K89" s="663"/>
      <c r="L89" s="678"/>
      <c r="M89" s="663"/>
      <c r="N89" s="663"/>
      <c r="O89" s="663"/>
      <c r="P89" s="663"/>
      <c r="Q89" s="663"/>
      <c r="R89" s="663"/>
      <c r="S89" s="663"/>
      <c r="T89" s="663"/>
      <c r="U89" s="663"/>
      <c r="V89" s="663"/>
      <c r="W89" s="663"/>
      <c r="X89" s="663"/>
      <c r="Y89" s="663"/>
      <c r="Z89" s="663"/>
      <c r="AA89" s="663"/>
      <c r="AB89" s="663"/>
      <c r="AC89" s="663"/>
      <c r="AD89" s="663"/>
      <c r="AE89" s="663"/>
      <c r="AF89" s="663"/>
      <c r="AG89" s="663"/>
      <c r="AH89" s="663"/>
    </row>
    <row r="90" ht="15" customHeight="1">
      <c r="A90" s="663"/>
      <c r="B90" s="664">
        <v>108</v>
      </c>
      <c r="C90" s="665"/>
      <c r="D90" s="663"/>
      <c r="E90" s="663"/>
      <c r="F90" s="663"/>
      <c r="G90" s="663"/>
      <c r="H90" s="667"/>
      <c r="I90" s="663"/>
      <c r="J90" s="663"/>
      <c r="K90" s="663"/>
      <c r="L90" s="678"/>
      <c r="M90" s="663"/>
      <c r="N90" s="663"/>
      <c r="O90" s="663"/>
      <c r="P90" s="663"/>
      <c r="Q90" s="663"/>
      <c r="R90" s="663"/>
      <c r="S90" s="663"/>
      <c r="T90" s="663"/>
      <c r="U90" s="663"/>
      <c r="V90" s="663"/>
      <c r="W90" s="663"/>
      <c r="X90" s="663"/>
      <c r="Y90" s="663"/>
      <c r="Z90" s="663"/>
      <c r="AA90" s="663"/>
      <c r="AB90" s="663"/>
      <c r="AC90" s="663"/>
      <c r="AD90" s="663"/>
      <c r="AE90" s="663"/>
      <c r="AF90" s="663"/>
      <c r="AG90" s="663"/>
      <c r="AH90" s="663"/>
    </row>
    <row r="91" ht="15" customHeight="1">
      <c r="A91" s="668"/>
      <c r="B91" s="669">
        <v>109</v>
      </c>
      <c r="C91" s="670"/>
      <c r="D91" s="668"/>
      <c r="E91" s="668"/>
      <c r="F91" s="668"/>
      <c r="G91" s="668"/>
      <c r="H91" s="671"/>
      <c r="I91" s="668"/>
      <c r="J91" s="668"/>
      <c r="K91" s="668"/>
      <c r="L91" s="679"/>
      <c r="M91" s="668"/>
      <c r="N91" s="668"/>
      <c r="O91" s="668"/>
      <c r="P91" s="668"/>
      <c r="Q91" s="668"/>
      <c r="R91" s="668"/>
      <c r="S91" s="668"/>
      <c r="T91" s="668"/>
      <c r="U91" s="668"/>
      <c r="V91" s="668"/>
      <c r="W91" s="668"/>
      <c r="X91" s="668"/>
      <c r="Y91" s="668"/>
      <c r="Z91" s="668"/>
      <c r="AA91" s="668"/>
      <c r="AB91" s="668"/>
      <c r="AC91" s="668"/>
      <c r="AD91" s="668"/>
      <c r="AE91" s="668"/>
      <c r="AF91" s="668"/>
      <c r="AG91" s="668"/>
      <c r="AH91" s="668"/>
    </row>
    <row r="92" ht="15" customHeight="1">
      <c r="A92" s="676">
        <f>ROUNDUP((A94-A93)*-1,0)</f>
      </c>
      <c r="B92" s="673">
        <v>111</v>
      </c>
      <c r="C92" s="674">
        <v>-9</v>
      </c>
      <c r="D92" t="s" s="675">
        <f>"Inject "&amp;'Planner Worksheet'!L19&amp;" (GnRH) to all females."</f>
        <v>382</v>
      </c>
      <c r="E92" s="676"/>
      <c r="F92" s="676"/>
      <c r="G92" s="676"/>
      <c r="H92" t="s" s="675">
        <f>IF('Planner Worksheet'!$G$16=TRUNC(B92/10),IF(I92="","",'Planner Worksheet'!$G$17+C92),"")</f>
      </c>
      <c r="I92" t="s" s="675">
        <f>"* Inject "&amp;'Planner Worksheet'!L19&amp;" to all females"</f>
        <v>383</v>
      </c>
      <c r="J92" s="676"/>
      <c r="K92" s="676"/>
      <c r="L92" s="677"/>
      <c r="M92" s="676"/>
      <c r="N92" s="676"/>
      <c r="O92" s="676"/>
      <c r="P92" s="676"/>
      <c r="Q92" s="676"/>
      <c r="R92" s="676"/>
      <c r="S92" s="676"/>
      <c r="T92" s="676"/>
      <c r="U92" s="676"/>
      <c r="V92" s="676"/>
      <c r="W92" s="676"/>
      <c r="X92" s="676"/>
      <c r="Y92" s="676"/>
      <c r="Z92" s="676"/>
      <c r="AA92" s="676"/>
      <c r="AB92" s="676"/>
      <c r="AC92" s="676"/>
      <c r="AD92" s="676"/>
      <c r="AE92" s="676"/>
      <c r="AF92" s="676"/>
      <c r="AG92" s="676"/>
      <c r="AH92" s="676"/>
    </row>
    <row r="93" ht="16.5" customHeight="1">
      <c r="A93" s="663">
        <f>A94-48/24</f>
      </c>
      <c r="B93" s="664">
        <v>112</v>
      </c>
      <c r="C93" s="678">
        <f>A92</f>
      </c>
      <c r="D93" t="s" s="666">
        <f>"Inject "&amp;'Planner Worksheet'!L20&amp;" (PG) to all females."</f>
        <v>334</v>
      </c>
      <c r="E93" s="685">
        <f>'Planner Worksheet'!G18</f>
        <v>0.4166666666666666</v>
      </c>
      <c r="F93" t="s" s="666">
        <v>391</v>
      </c>
      <c r="G93" s="663"/>
      <c r="H93" t="s" s="666">
        <f>IF('Planner Worksheet'!$G$16=TRUNC(B93/10),IF(I93="","",'Planner Worksheet'!$G$17+C93),"")</f>
      </c>
      <c r="I93" t="s" s="666">
        <f>"* Inject "&amp;'Planner Worksheet'!L20&amp;"- all females"</f>
        <v>335</v>
      </c>
      <c r="J93" s="686"/>
      <c r="K93" s="663"/>
      <c r="L93" s="678"/>
      <c r="M93" s="663"/>
      <c r="N93" s="663"/>
      <c r="O93" s="663"/>
      <c r="P93" s="663"/>
      <c r="Q93" s="663"/>
      <c r="R93" s="663"/>
      <c r="S93" s="663"/>
      <c r="T93" s="663"/>
      <c r="U93" s="663"/>
      <c r="V93" s="663"/>
      <c r="W93" s="663"/>
      <c r="X93" s="663"/>
      <c r="Y93" s="663"/>
      <c r="Z93" s="663"/>
      <c r="AA93" s="663"/>
      <c r="AB93" s="663"/>
      <c r="AC93" s="663"/>
      <c r="AD93" s="663"/>
      <c r="AE93" s="663"/>
      <c r="AF93" s="663"/>
      <c r="AG93" s="663"/>
      <c r="AH93" s="663"/>
    </row>
    <row r="94" ht="16.5" customHeight="1">
      <c r="A94" s="663">
        <f t="shared" si="107"/>
      </c>
      <c r="B94" s="664">
        <v>113</v>
      </c>
      <c r="C94" s="665">
        <v>0</v>
      </c>
      <c r="D94" t="s" s="666">
        <f>"Inject "&amp;'Planner Worksheet'!L19&amp;" (GnRH) to all females."</f>
        <v>382</v>
      </c>
      <c r="E94" t="s" s="666">
        <v>216</v>
      </c>
      <c r="F94" s="663">
        <f>'Calendar'!D10</f>
      </c>
      <c r="G94" s="663">
        <f>'Calendar'!G10</f>
      </c>
      <c r="H94" t="s" s="666">
        <f>IF('Planner Worksheet'!$G$16=TRUNC(B94/10),IF(I94="","",'Planner Worksheet'!$G$17+C94),"")</f>
      </c>
      <c r="I94" t="s" s="666">
        <v>392</v>
      </c>
      <c r="J94" s="686"/>
      <c r="K94" s="663"/>
      <c r="L94" s="678"/>
      <c r="M94" s="663"/>
      <c r="N94" s="663"/>
      <c r="O94" s="663"/>
      <c r="P94" s="663"/>
      <c r="Q94" s="663"/>
      <c r="R94" s="663"/>
      <c r="S94" s="663"/>
      <c r="T94" s="663"/>
      <c r="U94" s="663"/>
      <c r="V94" s="663"/>
      <c r="W94" s="663"/>
      <c r="X94" s="663"/>
      <c r="Y94" s="663"/>
      <c r="Z94" s="663"/>
      <c r="AA94" s="663"/>
      <c r="AB94" s="663"/>
      <c r="AC94" s="663"/>
      <c r="AD94" s="663"/>
      <c r="AE94" s="663"/>
      <c r="AF94" s="663"/>
      <c r="AG94" s="663"/>
      <c r="AH94" s="663"/>
    </row>
    <row r="95" ht="15" customHeight="1">
      <c r="A95" s="663"/>
      <c r="B95" s="664">
        <v>114</v>
      </c>
      <c r="C95" s="665">
        <f>'Planner Worksheet'!G21</f>
        <v>0</v>
      </c>
      <c r="D95" t="s" s="666">
        <v>217</v>
      </c>
      <c r="E95" t="s" s="666">
        <v>203</v>
      </c>
      <c r="F95" s="663"/>
      <c r="G95" s="663"/>
      <c r="H95" t="s" s="666">
        <f>IF('Planner Worksheet'!$G$16=TRUNC(B95/10),IF(I95="","",'Planner Worksheet'!$G$17+C95),"")</f>
      </c>
      <c r="I95" t="s" s="666">
        <v>283</v>
      </c>
      <c r="J95" s="663"/>
      <c r="K95" s="663"/>
      <c r="L95" s="678"/>
      <c r="M95" s="663"/>
      <c r="N95" s="663"/>
      <c r="O95" s="663"/>
      <c r="P95" s="663"/>
      <c r="Q95" s="663"/>
      <c r="R95" s="663"/>
      <c r="S95" s="663"/>
      <c r="T95" s="663"/>
      <c r="U95" s="663"/>
      <c r="V95" s="663"/>
      <c r="W95" s="663"/>
      <c r="X95" s="663"/>
      <c r="Y95" s="663"/>
      <c r="Z95" s="663"/>
      <c r="AA95" s="663"/>
      <c r="AB95" s="663"/>
      <c r="AC95" s="663"/>
      <c r="AD95" s="663"/>
      <c r="AE95" s="663"/>
      <c r="AF95" s="663"/>
      <c r="AG95" s="663"/>
      <c r="AH95" s="663"/>
    </row>
    <row r="96" ht="15" customHeight="1">
      <c r="A96" s="663"/>
      <c r="B96" s="664">
        <v>115</v>
      </c>
      <c r="C96" s="665">
        <v>21</v>
      </c>
      <c r="D96" t="s" s="666">
        <v>218</v>
      </c>
      <c r="E96" s="663"/>
      <c r="F96" s="663"/>
      <c r="G96" s="663"/>
      <c r="H96" s="663">
        <f>23+H93</f>
      </c>
      <c r="I96" t="s" s="666">
        <v>289</v>
      </c>
      <c r="J96" s="663"/>
      <c r="K96" s="663"/>
      <c r="L96" s="678"/>
      <c r="M96" s="663"/>
      <c r="N96" s="663"/>
      <c r="O96" s="663"/>
      <c r="P96" s="663"/>
      <c r="Q96" s="663"/>
      <c r="R96" s="663"/>
      <c r="S96" s="663"/>
      <c r="T96" s="663"/>
      <c r="U96" s="663"/>
      <c r="V96" s="663"/>
      <c r="W96" s="663"/>
      <c r="X96" s="663"/>
      <c r="Y96" s="663"/>
      <c r="Z96" s="663"/>
      <c r="AA96" s="663"/>
      <c r="AB96" s="663"/>
      <c r="AC96" s="663"/>
      <c r="AD96" s="663"/>
      <c r="AE96" s="663"/>
      <c r="AF96" s="663"/>
      <c r="AG96" s="663"/>
      <c r="AH96" s="663"/>
    </row>
    <row r="97" ht="15" customHeight="1">
      <c r="A97" s="663"/>
      <c r="B97" s="664">
        <v>116</v>
      </c>
      <c r="C97" s="665"/>
      <c r="D97" s="663"/>
      <c r="E97" s="663"/>
      <c r="F97" s="663"/>
      <c r="G97" s="663"/>
      <c r="H97" s="667"/>
      <c r="I97" s="663"/>
      <c r="J97" s="663"/>
      <c r="K97" s="663"/>
      <c r="L97" s="678"/>
      <c r="M97" s="663"/>
      <c r="N97" s="663"/>
      <c r="O97" s="663"/>
      <c r="P97" s="663"/>
      <c r="Q97" s="663"/>
      <c r="R97" s="663"/>
      <c r="S97" s="663"/>
      <c r="T97" s="663"/>
      <c r="U97" s="663"/>
      <c r="V97" s="663"/>
      <c r="W97" s="663"/>
      <c r="X97" s="663"/>
      <c r="Y97" s="663"/>
      <c r="Z97" s="663"/>
      <c r="AA97" s="663"/>
      <c r="AB97" s="663"/>
      <c r="AC97" s="663"/>
      <c r="AD97" s="663"/>
      <c r="AE97" s="663"/>
      <c r="AF97" s="663"/>
      <c r="AG97" s="663"/>
      <c r="AH97" s="663"/>
    </row>
    <row r="98" ht="15" customHeight="1">
      <c r="A98" s="663"/>
      <c r="B98" s="664">
        <v>117</v>
      </c>
      <c r="C98" s="665"/>
      <c r="D98" s="663"/>
      <c r="E98" s="663"/>
      <c r="F98" s="663"/>
      <c r="G98" s="663"/>
      <c r="H98" s="667"/>
      <c r="I98" s="663"/>
      <c r="J98" s="663"/>
      <c r="K98" s="663"/>
      <c r="L98" s="678"/>
      <c r="M98" s="663"/>
      <c r="N98" s="663"/>
      <c r="O98" s="663"/>
      <c r="P98" s="663"/>
      <c r="Q98" s="663"/>
      <c r="R98" s="663"/>
      <c r="S98" s="663"/>
      <c r="T98" s="663"/>
      <c r="U98" s="663"/>
      <c r="V98" s="663"/>
      <c r="W98" s="663"/>
      <c r="X98" s="663"/>
      <c r="Y98" s="663"/>
      <c r="Z98" s="663"/>
      <c r="AA98" s="663"/>
      <c r="AB98" s="663"/>
      <c r="AC98" s="663"/>
      <c r="AD98" s="663"/>
      <c r="AE98" s="663"/>
      <c r="AF98" s="663"/>
      <c r="AG98" s="663"/>
      <c r="AH98" s="663"/>
    </row>
    <row r="99" ht="15" customHeight="1">
      <c r="A99" s="663"/>
      <c r="B99" s="664">
        <v>118</v>
      </c>
      <c r="C99" s="665"/>
      <c r="D99" s="663"/>
      <c r="E99" s="663"/>
      <c r="F99" s="663"/>
      <c r="G99" s="663"/>
      <c r="H99" s="667"/>
      <c r="I99" s="663"/>
      <c r="J99" s="663"/>
      <c r="K99" s="663"/>
      <c r="L99" s="678"/>
      <c r="M99" s="663"/>
      <c r="N99" s="663"/>
      <c r="O99" s="663"/>
      <c r="P99" s="663"/>
      <c r="Q99" s="663"/>
      <c r="R99" s="663"/>
      <c r="S99" s="663"/>
      <c r="T99" s="663"/>
      <c r="U99" s="663"/>
      <c r="V99" s="663"/>
      <c r="W99" s="663"/>
      <c r="X99" s="663"/>
      <c r="Y99" s="663"/>
      <c r="Z99" s="663"/>
      <c r="AA99" s="663"/>
      <c r="AB99" s="663"/>
      <c r="AC99" s="663"/>
      <c r="AD99" s="663"/>
      <c r="AE99" s="663"/>
      <c r="AF99" s="663"/>
      <c r="AG99" s="663"/>
      <c r="AH99" s="663"/>
    </row>
    <row r="100" ht="15" customHeight="1">
      <c r="A100" s="668"/>
      <c r="B100" s="669">
        <v>119</v>
      </c>
      <c r="C100" s="670"/>
      <c r="D100" s="668"/>
      <c r="E100" s="668"/>
      <c r="F100" s="668"/>
      <c r="G100" s="668"/>
      <c r="H100" s="671"/>
      <c r="I100" s="668"/>
      <c r="J100" s="668"/>
      <c r="K100" s="668"/>
      <c r="L100" s="679"/>
      <c r="M100" s="668"/>
      <c r="N100" s="668"/>
      <c r="O100" s="668"/>
      <c r="P100" s="668"/>
      <c r="Q100" s="668"/>
      <c r="R100" s="668"/>
      <c r="S100" s="668"/>
      <c r="T100" s="668"/>
      <c r="U100" s="668"/>
      <c r="V100" s="668"/>
      <c r="W100" s="668"/>
      <c r="X100" s="668"/>
      <c r="Y100" s="668"/>
      <c r="Z100" s="668"/>
      <c r="AA100" s="668"/>
      <c r="AB100" s="668"/>
      <c r="AC100" s="668"/>
      <c r="AD100" s="668"/>
      <c r="AE100" s="668"/>
      <c r="AF100" s="668"/>
      <c r="AG100" s="668"/>
      <c r="AH100" s="668"/>
    </row>
    <row r="101" ht="15" customHeight="1">
      <c r="A101" s="676">
        <f>H103-2</f>
      </c>
      <c r="B101" s="673">
        <v>121</v>
      </c>
      <c r="C101" s="674">
        <v>-17</v>
      </c>
      <c r="D101" t="s" s="675">
        <v>371</v>
      </c>
      <c r="E101" s="676">
        <f>CONCATENATE("Continue feeding until ",MONTH(A101),"/",DAY(A101),"/",YEAR(A101),".")</f>
      </c>
      <c r="F101" s="676"/>
      <c r="G101" s="676"/>
      <c r="H101" s="680"/>
      <c r="I101" s="676"/>
      <c r="J101" s="676"/>
      <c r="K101" s="676"/>
      <c r="L101" s="677"/>
      <c r="M101" s="676"/>
      <c r="N101" s="676"/>
      <c r="O101" s="676"/>
      <c r="P101" s="676"/>
      <c r="Q101" s="676"/>
      <c r="R101" s="676"/>
      <c r="S101" s="676"/>
      <c r="T101" s="676"/>
      <c r="U101" s="676"/>
      <c r="V101" s="676"/>
      <c r="W101" s="676"/>
      <c r="X101" s="676"/>
      <c r="Y101" s="676"/>
      <c r="Z101" s="676"/>
      <c r="AA101" s="676"/>
      <c r="AB101" s="676"/>
      <c r="AC101" s="676"/>
      <c r="AD101" s="676"/>
      <c r="AE101" s="676"/>
      <c r="AF101" s="676"/>
      <c r="AG101" s="676"/>
      <c r="AH101" s="676"/>
    </row>
    <row r="102" ht="15" customHeight="1">
      <c r="A102" s="663"/>
      <c r="B102" s="664">
        <v>122</v>
      </c>
      <c r="C102" s="665">
        <v>-11</v>
      </c>
      <c r="D102" t="s" s="666">
        <v>374</v>
      </c>
      <c r="E102" t="s" s="666">
        <f>"Inject "&amp;'Planner Worksheet'!L20&amp;" (PG) to all females."</f>
        <v>334</v>
      </c>
      <c r="F102" s="663"/>
      <c r="G102" s="663"/>
      <c r="H102" t="s" s="666">
        <f>IF('Planner Worksheet'!$G$16=TRUNC(B102/10),IF(I102="","",'Planner Worksheet'!$G$17+C102),"")</f>
      </c>
      <c r="I102" t="s" s="666">
        <f>"* Inject "&amp;'Planner Worksheet'!L20&amp;"- all females"</f>
        <v>335</v>
      </c>
      <c r="J102" s="663"/>
      <c r="K102" s="663"/>
      <c r="L102" s="678"/>
      <c r="M102" s="663"/>
      <c r="N102" s="663"/>
      <c r="O102" s="663"/>
      <c r="P102" s="663"/>
      <c r="Q102" s="663"/>
      <c r="R102" s="663"/>
      <c r="S102" s="663"/>
      <c r="T102" s="663"/>
      <c r="U102" s="663"/>
      <c r="V102" s="663"/>
      <c r="W102" s="663"/>
      <c r="X102" s="663"/>
      <c r="Y102" s="663"/>
      <c r="Z102" s="663"/>
      <c r="AA102" s="663"/>
      <c r="AB102" s="663"/>
      <c r="AC102" s="663"/>
      <c r="AD102" s="663"/>
      <c r="AE102" s="663"/>
      <c r="AF102" s="663"/>
      <c r="AG102" s="663"/>
      <c r="AH102" s="663"/>
    </row>
    <row r="103" ht="15" customHeight="1">
      <c r="A103" s="663"/>
      <c r="B103" s="664">
        <v>123</v>
      </c>
      <c r="C103" s="665">
        <v>-7</v>
      </c>
      <c r="D103" t="s" s="666">
        <f>"Inject "&amp;'Planner Worksheet'!L19&amp;" (GnRH) to all females."</f>
        <v>382</v>
      </c>
      <c r="E103" s="663"/>
      <c r="F103" s="663"/>
      <c r="G103" s="663"/>
      <c r="H103" t="s" s="666">
        <f>IF('Planner Worksheet'!$G$16=TRUNC(B103/10),IF(I103="","",'Planner Worksheet'!$G$17+C103),"")</f>
      </c>
      <c r="I103" t="s" s="666">
        <f>"* Inject "&amp;'Planner Worksheet'!L19&amp;" to all females"</f>
        <v>383</v>
      </c>
      <c r="J103" s="663"/>
      <c r="K103" s="663"/>
      <c r="L103" s="678"/>
      <c r="M103" s="663"/>
      <c r="N103" s="663"/>
      <c r="O103" s="663"/>
      <c r="P103" s="663"/>
      <c r="Q103" s="663"/>
      <c r="R103" s="663"/>
      <c r="S103" s="663"/>
      <c r="T103" s="663"/>
      <c r="U103" s="663"/>
      <c r="V103" s="663"/>
      <c r="W103" s="663"/>
      <c r="X103" s="663"/>
      <c r="Y103" s="663"/>
      <c r="Z103" s="663"/>
      <c r="AA103" s="663"/>
      <c r="AB103" s="663"/>
      <c r="AC103" s="663"/>
      <c r="AD103" s="663"/>
      <c r="AE103" s="663"/>
      <c r="AF103" s="663"/>
      <c r="AG103" s="663"/>
      <c r="AH103" s="663"/>
    </row>
    <row r="104" ht="15" customHeight="1">
      <c r="A104" s="685"/>
      <c r="B104" s="664">
        <v>124</v>
      </c>
      <c r="C104" s="665">
        <v>0</v>
      </c>
      <c r="D104" t="s" s="666">
        <f>"Inject "&amp;'Planner Worksheet'!L20&amp;" (PG) to all females."</f>
        <v>334</v>
      </c>
      <c r="E104" t="s" s="666">
        <v>257</v>
      </c>
      <c r="F104" t="s" s="666">
        <v>258</v>
      </c>
      <c r="G104" s="663"/>
      <c r="H104" t="s" s="666">
        <f>IF('Planner Worksheet'!$G$16=TRUNC(B104/10),IF(I104="","",'Planner Worksheet'!$G$17+C104),"")</f>
      </c>
      <c r="I104" t="s" s="666">
        <f>"* Inject "&amp;'Planner Worksheet'!L20&amp;"- all females"</f>
        <v>335</v>
      </c>
      <c r="J104" s="663"/>
      <c r="K104" s="663"/>
      <c r="L104" s="678"/>
      <c r="M104" s="663"/>
      <c r="N104" s="663"/>
      <c r="O104" s="663"/>
      <c r="P104" s="663"/>
      <c r="Q104" s="663"/>
      <c r="R104" s="663"/>
      <c r="S104" s="663"/>
      <c r="T104" s="663"/>
      <c r="U104" s="663"/>
      <c r="V104" s="663"/>
      <c r="W104" s="663"/>
      <c r="X104" s="663"/>
      <c r="Y104" s="663"/>
      <c r="Z104" s="663"/>
      <c r="AA104" s="663"/>
      <c r="AB104" s="663"/>
      <c r="AC104" s="663"/>
      <c r="AD104" s="663"/>
      <c r="AE104" s="663"/>
      <c r="AF104" s="663"/>
      <c r="AG104" s="663"/>
      <c r="AH104" s="663"/>
    </row>
    <row r="105" ht="15" customHeight="1">
      <c r="A105" s="663"/>
      <c r="B105" s="664">
        <v>125</v>
      </c>
      <c r="C105" s="665">
        <v>1</v>
      </c>
      <c r="D105" t="s" s="666">
        <v>272</v>
      </c>
      <c r="E105" t="s" s="666">
        <v>258</v>
      </c>
      <c r="F105" s="663"/>
      <c r="G105" s="663"/>
      <c r="H105" s="667"/>
      <c r="I105" s="663"/>
      <c r="J105" s="663"/>
      <c r="K105" s="663"/>
      <c r="L105" s="678"/>
      <c r="M105" s="663"/>
      <c r="N105" s="663"/>
      <c r="O105" s="663"/>
      <c r="P105" s="663"/>
      <c r="Q105" s="663"/>
      <c r="R105" s="663"/>
      <c r="S105" s="663"/>
      <c r="T105" s="663"/>
      <c r="U105" s="663"/>
      <c r="V105" s="663"/>
      <c r="W105" s="663"/>
      <c r="X105" s="663"/>
      <c r="Y105" s="663"/>
      <c r="Z105" s="663"/>
      <c r="AA105" s="663"/>
      <c r="AB105" s="663"/>
      <c r="AC105" s="663"/>
      <c r="AD105" s="663"/>
      <c r="AE105" s="663"/>
      <c r="AF105" s="663"/>
      <c r="AG105" s="663"/>
      <c r="AH105" s="663"/>
    </row>
    <row r="106" ht="15" customHeight="1">
      <c r="A106" s="663"/>
      <c r="B106" s="664">
        <v>126</v>
      </c>
      <c r="C106" s="665">
        <v>2</v>
      </c>
      <c r="D106" t="s" s="666">
        <v>393</v>
      </c>
      <c r="E106" t="s" s="666">
        <v>272</v>
      </c>
      <c r="F106" t="s" s="666">
        <v>258</v>
      </c>
      <c r="G106" s="663"/>
      <c r="H106" t="s" s="666">
        <f>IF('Planner Worksheet'!$G$16=TRUNC(B106/10),IF(I106="","",'Planner Worksheet'!$G$17+C106),"")</f>
      </c>
      <c r="I106" t="s" s="666">
        <v>357</v>
      </c>
      <c r="J106" s="663"/>
      <c r="K106" s="663"/>
      <c r="L106" s="678"/>
      <c r="M106" s="663"/>
      <c r="N106" s="663"/>
      <c r="O106" s="663"/>
      <c r="P106" s="663"/>
      <c r="Q106" s="663"/>
      <c r="R106" s="663"/>
      <c r="S106" s="663"/>
      <c r="T106" s="663"/>
      <c r="U106" s="663"/>
      <c r="V106" s="663"/>
      <c r="W106" s="663"/>
      <c r="X106" s="663"/>
      <c r="Y106" s="663"/>
      <c r="Z106" s="663"/>
      <c r="AA106" s="663"/>
      <c r="AB106" s="663"/>
      <c r="AC106" s="663"/>
      <c r="AD106" s="663"/>
      <c r="AE106" s="663"/>
      <c r="AF106" s="663"/>
      <c r="AG106" s="663"/>
      <c r="AH106" s="663"/>
    </row>
    <row r="107" ht="15" customHeight="1">
      <c r="A107" s="663"/>
      <c r="B107" s="664">
        <v>127</v>
      </c>
      <c r="C107" s="665">
        <v>5</v>
      </c>
      <c r="D107" t="s" s="666">
        <v>276</v>
      </c>
      <c r="E107" t="s" s="666">
        <v>277</v>
      </c>
      <c r="F107" s="663"/>
      <c r="G107" s="663"/>
      <c r="H107" s="667"/>
      <c r="I107" s="663"/>
      <c r="J107" s="663"/>
      <c r="K107" s="663"/>
      <c r="L107" s="678"/>
      <c r="M107" s="663"/>
      <c r="N107" s="663"/>
      <c r="O107" s="663"/>
      <c r="P107" s="663"/>
      <c r="Q107" s="663"/>
      <c r="R107" s="663"/>
      <c r="S107" s="663"/>
      <c r="T107" s="663"/>
      <c r="U107" s="663"/>
      <c r="V107" s="663"/>
      <c r="W107" s="663"/>
      <c r="X107" s="663"/>
      <c r="Y107" s="663"/>
      <c r="Z107" s="663"/>
      <c r="AA107" s="663"/>
      <c r="AB107" s="663"/>
      <c r="AC107" s="663"/>
      <c r="AD107" s="663"/>
      <c r="AE107" s="663"/>
      <c r="AF107" s="663"/>
      <c r="AG107" s="663"/>
      <c r="AH107" s="663"/>
    </row>
    <row r="108" ht="15" customHeight="1">
      <c r="A108" s="663"/>
      <c r="B108" s="664">
        <v>128</v>
      </c>
      <c r="C108" s="665">
        <f>'Planner Worksheet'!G21+C107</f>
        <v>5</v>
      </c>
      <c r="D108" t="s" s="666">
        <v>217</v>
      </c>
      <c r="E108" t="s" s="666">
        <v>203</v>
      </c>
      <c r="F108" s="663"/>
      <c r="G108" s="663"/>
      <c r="H108" t="s" s="666">
        <f>IF('Planner Worksheet'!$G$16=TRUNC(B108/10),IF(I108="","",'Planner Worksheet'!$G$17+C108),"")</f>
      </c>
      <c r="I108" t="s" s="666">
        <v>283</v>
      </c>
      <c r="J108" s="663"/>
      <c r="K108" s="663"/>
      <c r="L108" s="678"/>
      <c r="M108" s="663"/>
      <c r="N108" s="663"/>
      <c r="O108" s="663"/>
      <c r="P108" s="663"/>
      <c r="Q108" s="663"/>
      <c r="R108" s="663"/>
      <c r="S108" s="663"/>
      <c r="T108" s="663"/>
      <c r="U108" s="663"/>
      <c r="V108" s="663"/>
      <c r="W108" s="663"/>
      <c r="X108" s="663"/>
      <c r="Y108" s="663"/>
      <c r="Z108" s="663"/>
      <c r="AA108" s="663"/>
      <c r="AB108" s="663"/>
      <c r="AC108" s="663"/>
      <c r="AD108" s="663"/>
      <c r="AE108" s="663"/>
      <c r="AF108" s="663"/>
      <c r="AG108" s="663"/>
      <c r="AH108" s="663"/>
    </row>
    <row r="109" ht="15" customHeight="1">
      <c r="A109" s="668"/>
      <c r="B109" s="669">
        <v>129</v>
      </c>
      <c r="C109" s="670">
        <v>23</v>
      </c>
      <c r="D109" t="s" s="681">
        <v>218</v>
      </c>
      <c r="E109" s="668"/>
      <c r="F109" s="668"/>
      <c r="G109" s="668"/>
      <c r="H109" s="668">
        <f>23+H104</f>
      </c>
      <c r="I109" t="s" s="681">
        <v>289</v>
      </c>
      <c r="J109" s="668"/>
      <c r="K109" s="668"/>
      <c r="L109" s="679"/>
      <c r="M109" s="668"/>
      <c r="N109" s="668"/>
      <c r="O109" s="668"/>
      <c r="P109" s="668"/>
      <c r="Q109" s="668"/>
      <c r="R109" s="668"/>
      <c r="S109" s="668"/>
      <c r="T109" s="668"/>
      <c r="U109" s="668"/>
      <c r="V109" s="668"/>
      <c r="W109" s="668"/>
      <c r="X109" s="668"/>
      <c r="Y109" s="668"/>
      <c r="Z109" s="668"/>
      <c r="AA109" s="668"/>
      <c r="AB109" s="668"/>
      <c r="AC109" s="668"/>
      <c r="AD109" s="668"/>
      <c r="AE109" s="668"/>
      <c r="AF109" s="668"/>
      <c r="AG109" s="668"/>
      <c r="AH109" s="668"/>
    </row>
    <row r="110" ht="15" customHeight="1">
      <c r="A110" s="672"/>
      <c r="B110" s="673">
        <v>131</v>
      </c>
      <c r="C110" s="674">
        <v>-10</v>
      </c>
      <c r="D110" t="s" s="675">
        <f>"Inject "&amp;'Planner Worksheet'!L19&amp;" (GnRH) to all females."</f>
        <v>382</v>
      </c>
      <c r="E110" s="676"/>
      <c r="F110" s="676"/>
      <c r="G110" s="676"/>
      <c r="H110" t="s" s="675">
        <f>IF('Planner Worksheet'!$G$16=TRUNC(B110/10),IF(I110="","",'Planner Worksheet'!$G$17+C110),"")</f>
      </c>
      <c r="I110" t="s" s="675">
        <f>"* Inject "&amp;'Planner Worksheet'!L19&amp;" to all females"</f>
        <v>383</v>
      </c>
      <c r="J110" s="676"/>
      <c r="K110" s="676"/>
      <c r="L110" s="677"/>
      <c r="M110" s="676"/>
      <c r="N110" s="676"/>
      <c r="O110" s="676"/>
      <c r="P110" s="676"/>
      <c r="Q110" s="676"/>
      <c r="R110" s="676"/>
      <c r="S110" s="676"/>
      <c r="T110" s="676"/>
      <c r="U110" s="676"/>
      <c r="V110" s="676"/>
      <c r="W110" s="676"/>
      <c r="X110" s="676"/>
      <c r="Y110" s="676"/>
      <c r="Z110" s="676"/>
      <c r="AA110" s="676"/>
      <c r="AB110" s="676"/>
      <c r="AC110" s="676"/>
      <c r="AD110" s="676"/>
      <c r="AE110" s="676"/>
      <c r="AF110" s="676"/>
      <c r="AG110" s="676"/>
      <c r="AH110" s="676"/>
    </row>
    <row r="111" ht="15" customHeight="1">
      <c r="A111" s="663">
        <f>ROUNDUP((A113-A112)*-1,0)</f>
      </c>
      <c r="B111" s="664">
        <v>132</v>
      </c>
      <c r="C111" s="665">
        <v>-3</v>
      </c>
      <c r="D111" t="s" s="666">
        <f>"Inject "&amp;'Planner Worksheet'!L20&amp;" (PG) to all females."</f>
        <v>334</v>
      </c>
      <c r="E111" s="663"/>
      <c r="F111" s="663"/>
      <c r="G111" s="663"/>
      <c r="H111" t="s" s="666">
        <f>IF('Planner Worksheet'!$G$16=TRUNC(B111/10),IF(I111="","",'Planner Worksheet'!$G$17+C111),"")</f>
      </c>
      <c r="I111" t="s" s="666">
        <f>"* Inject "&amp;'Planner Worksheet'!L20&amp;"- all females"</f>
        <v>335</v>
      </c>
      <c r="J111" s="663"/>
      <c r="K111" s="663"/>
      <c r="L111" s="678"/>
      <c r="M111" s="663"/>
      <c r="N111" s="663"/>
      <c r="O111" s="663"/>
      <c r="P111" s="663"/>
      <c r="Q111" s="663"/>
      <c r="R111" s="663"/>
      <c r="S111" s="663"/>
      <c r="T111" s="663"/>
      <c r="U111" s="663"/>
      <c r="V111" s="663"/>
      <c r="W111" s="663"/>
      <c r="X111" s="663"/>
      <c r="Y111" s="663"/>
      <c r="Z111" s="663"/>
      <c r="AA111" s="663"/>
      <c r="AB111" s="663"/>
      <c r="AC111" s="663"/>
      <c r="AD111" s="663"/>
      <c r="AE111" s="663"/>
      <c r="AF111" s="663"/>
      <c r="AG111" s="663"/>
      <c r="AH111" s="663"/>
    </row>
    <row r="112" ht="15" customHeight="1">
      <c r="A112" s="663">
        <f>A113-20/24</f>
      </c>
      <c r="B112" s="664">
        <v>133</v>
      </c>
      <c r="C112" s="684">
        <v>-1</v>
      </c>
      <c r="D112" t="s" s="666">
        <f>"Inject "&amp;'Planner Worksheet'!L19&amp;" (GnRH) to all females at: "</f>
        <v>394</v>
      </c>
      <c r="E112" s="663">
        <f>H112+'Planner Worksheet'!G18</f>
      </c>
      <c r="F112" s="663"/>
      <c r="G112" s="663"/>
      <c r="H112" s="663">
        <f>H113-1</f>
      </c>
      <c r="I112" t="s" s="666">
        <f>"* Inject "&amp;'Planner Worksheet'!L19&amp;" to all females (48 hrs following PG)"</f>
        <v>395</v>
      </c>
      <c r="J112" s="663"/>
      <c r="K112" s="663"/>
      <c r="L112" s="678"/>
      <c r="M112" s="663"/>
      <c r="N112" s="663"/>
      <c r="O112" s="663"/>
      <c r="P112" s="663"/>
      <c r="Q112" s="663"/>
      <c r="R112" s="663"/>
      <c r="S112" s="663"/>
      <c r="T112" s="663"/>
      <c r="U112" s="663"/>
      <c r="V112" s="663"/>
      <c r="W112" s="663"/>
      <c r="X112" s="663"/>
      <c r="Y112" s="663"/>
      <c r="Z112" s="663"/>
      <c r="AA112" s="663"/>
      <c r="AB112" s="663"/>
      <c r="AC112" s="663"/>
      <c r="AD112" s="663"/>
      <c r="AE112" s="663"/>
      <c r="AF112" s="663"/>
      <c r="AG112" s="663"/>
      <c r="AH112" s="663"/>
    </row>
    <row r="113" ht="15" customHeight="1">
      <c r="A113" s="663">
        <f t="shared" si="107"/>
      </c>
      <c r="B113" s="664">
        <v>134</v>
      </c>
      <c r="C113" s="665">
        <v>0</v>
      </c>
      <c r="D113" t="s" s="666">
        <v>216</v>
      </c>
      <c r="E113" s="663">
        <f>'Calendar'!D10</f>
      </c>
      <c r="F113" s="687">
        <f>'Planner Worksheet'!G18</f>
        <v>0.4166666666666666</v>
      </c>
      <c r="G113" s="663"/>
      <c r="H113" t="s" s="666">
        <f>IF('Planner Worksheet'!$G$16=TRUNC(B113/10),IF(I113="","",'Planner Worksheet'!$G$17+C113),"")</f>
      </c>
      <c r="I113" t="s" s="666">
        <f>"** Fixed Time AI (16-24 hrs following "&amp;'Planner Worksheet'!L19&amp;" )"</f>
        <v>396</v>
      </c>
      <c r="J113" s="663"/>
      <c r="K113" s="663"/>
      <c r="L113" s="678"/>
      <c r="M113" s="663"/>
      <c r="N113" s="663"/>
      <c r="O113" s="663"/>
      <c r="P113" s="663"/>
      <c r="Q113" s="663"/>
      <c r="R113" s="663"/>
      <c r="S113" s="663"/>
      <c r="T113" s="663"/>
      <c r="U113" s="663"/>
      <c r="V113" s="663"/>
      <c r="W113" s="663"/>
      <c r="X113" s="663"/>
      <c r="Y113" s="663"/>
      <c r="Z113" s="663"/>
      <c r="AA113" s="663"/>
      <c r="AB113" s="663"/>
      <c r="AC113" s="663"/>
      <c r="AD113" s="663"/>
      <c r="AE113" s="663"/>
      <c r="AF113" s="663"/>
      <c r="AG113" s="663"/>
      <c r="AH113" s="663"/>
    </row>
    <row r="114" ht="15" customHeight="1">
      <c r="A114" s="663">
        <f t="shared" si="166" ref="A114:A338">'Planner Worksheet'!$G$17+"12:00 am"</f>
      </c>
      <c r="B114" s="664">
        <v>135</v>
      </c>
      <c r="C114" s="665">
        <f>'Planner Worksheet'!G21</f>
        <v>0</v>
      </c>
      <c r="D114" t="s" s="666">
        <v>217</v>
      </c>
      <c r="E114" t="s" s="666">
        <v>203</v>
      </c>
      <c r="F114" s="663"/>
      <c r="G114" s="663"/>
      <c r="H114" t="s" s="666">
        <f>IF('Planner Worksheet'!$G$16=TRUNC(B114/10),IF(I114="","",'Planner Worksheet'!$G$17+C114),"")</f>
      </c>
      <c r="I114" t="s" s="666">
        <v>283</v>
      </c>
      <c r="J114" s="663"/>
      <c r="K114" s="663"/>
      <c r="L114" s="678"/>
      <c r="M114" s="663"/>
      <c r="N114" s="663"/>
      <c r="O114" s="663"/>
      <c r="P114" s="663"/>
      <c r="Q114" s="663"/>
      <c r="R114" s="663"/>
      <c r="S114" s="663"/>
      <c r="T114" s="663"/>
      <c r="U114" s="663"/>
      <c r="V114" s="663"/>
      <c r="W114" s="663"/>
      <c r="X114" s="663"/>
      <c r="Y114" s="663"/>
      <c r="Z114" s="663"/>
      <c r="AA114" s="663"/>
      <c r="AB114" s="663"/>
      <c r="AC114" s="663"/>
      <c r="AD114" s="663"/>
      <c r="AE114" s="663"/>
      <c r="AF114" s="663"/>
      <c r="AG114" s="663"/>
      <c r="AH114" s="663"/>
    </row>
    <row r="115" ht="15" customHeight="1">
      <c r="A115" s="663">
        <f>A114-A113</f>
      </c>
      <c r="B115" s="664">
        <v>136</v>
      </c>
      <c r="C115" s="665">
        <v>21</v>
      </c>
      <c r="D115" t="s" s="666">
        <v>218</v>
      </c>
      <c r="E115" s="663"/>
      <c r="F115" s="663"/>
      <c r="G115" s="663"/>
      <c r="H115" s="663">
        <f>21+H113</f>
      </c>
      <c r="I115" t="s" s="666">
        <v>289</v>
      </c>
      <c r="J115" s="663"/>
      <c r="K115" s="663"/>
      <c r="L115" s="678"/>
      <c r="M115" s="663"/>
      <c r="N115" s="663"/>
      <c r="O115" s="663"/>
      <c r="P115" s="663"/>
      <c r="Q115" s="663"/>
      <c r="R115" s="663"/>
      <c r="S115" s="663"/>
      <c r="T115" s="663"/>
      <c r="U115" s="663"/>
      <c r="V115" s="663"/>
      <c r="W115" s="663"/>
      <c r="X115" s="663"/>
      <c r="Y115" s="663"/>
      <c r="Z115" s="663"/>
      <c r="AA115" s="663"/>
      <c r="AB115" s="663"/>
      <c r="AC115" s="663"/>
      <c r="AD115" s="663"/>
      <c r="AE115" s="663"/>
      <c r="AF115" s="663"/>
      <c r="AG115" s="663"/>
      <c r="AH115" s="663"/>
    </row>
    <row r="116" ht="15" customHeight="1">
      <c r="A116" s="663"/>
      <c r="B116" s="664">
        <v>137</v>
      </c>
      <c r="C116" s="665"/>
      <c r="D116" s="663"/>
      <c r="E116" s="663"/>
      <c r="F116" s="663"/>
      <c r="G116" s="663"/>
      <c r="H116" s="667"/>
      <c r="I116" s="663"/>
      <c r="J116" s="663"/>
      <c r="K116" s="663"/>
      <c r="L116" s="678"/>
      <c r="M116" s="663"/>
      <c r="N116" s="663"/>
      <c r="O116" s="663"/>
      <c r="P116" s="663"/>
      <c r="Q116" s="663"/>
      <c r="R116" s="663"/>
      <c r="S116" s="663"/>
      <c r="T116" s="663"/>
      <c r="U116" s="663"/>
      <c r="V116" s="663"/>
      <c r="W116" s="663"/>
      <c r="X116" s="663"/>
      <c r="Y116" s="663"/>
      <c r="Z116" s="663"/>
      <c r="AA116" s="663"/>
      <c r="AB116" s="663"/>
      <c r="AC116" s="663"/>
      <c r="AD116" s="663"/>
      <c r="AE116" s="663"/>
      <c r="AF116" s="663"/>
      <c r="AG116" s="663"/>
      <c r="AH116" s="663"/>
    </row>
    <row r="117" ht="15" customHeight="1">
      <c r="A117" s="663"/>
      <c r="B117" s="664">
        <v>138</v>
      </c>
      <c r="C117" s="665"/>
      <c r="D117" s="663"/>
      <c r="E117" s="663"/>
      <c r="F117" s="663"/>
      <c r="G117" s="663"/>
      <c r="H117" s="667"/>
      <c r="I117" s="663"/>
      <c r="J117" s="663"/>
      <c r="K117" s="663"/>
      <c r="L117" s="678"/>
      <c r="M117" s="663"/>
      <c r="N117" s="663"/>
      <c r="O117" s="663"/>
      <c r="P117" s="663"/>
      <c r="Q117" s="663"/>
      <c r="R117" s="663"/>
      <c r="S117" s="663"/>
      <c r="T117" s="663"/>
      <c r="U117" s="663"/>
      <c r="V117" s="663"/>
      <c r="W117" s="663"/>
      <c r="X117" s="663"/>
      <c r="Y117" s="663"/>
      <c r="Z117" s="663"/>
      <c r="AA117" s="663"/>
      <c r="AB117" s="663"/>
      <c r="AC117" s="663"/>
      <c r="AD117" s="663"/>
      <c r="AE117" s="663"/>
      <c r="AF117" s="663"/>
      <c r="AG117" s="663"/>
      <c r="AH117" s="663"/>
    </row>
    <row r="118" ht="15" customHeight="1">
      <c r="A118" s="668"/>
      <c r="B118" s="669">
        <v>139</v>
      </c>
      <c r="C118" s="670"/>
      <c r="D118" s="668"/>
      <c r="E118" s="668"/>
      <c r="F118" s="668"/>
      <c r="G118" s="668"/>
      <c r="H118" s="671"/>
      <c r="I118" s="668"/>
      <c r="J118" s="668"/>
      <c r="K118" s="668"/>
      <c r="L118" s="679"/>
      <c r="M118" s="668"/>
      <c r="N118" s="668"/>
      <c r="O118" s="668"/>
      <c r="P118" s="668"/>
      <c r="Q118" s="668"/>
      <c r="R118" s="668"/>
      <c r="S118" s="668"/>
      <c r="T118" s="668"/>
      <c r="U118" s="668"/>
      <c r="V118" s="668"/>
      <c r="W118" s="668"/>
      <c r="X118" s="668"/>
      <c r="Y118" s="668"/>
      <c r="Z118" s="668"/>
      <c r="AA118" s="668"/>
      <c r="AB118" s="668"/>
      <c r="AC118" s="668"/>
      <c r="AD118" s="668"/>
      <c r="AE118" s="668"/>
      <c r="AF118" s="668"/>
      <c r="AG118" s="668"/>
      <c r="AH118" s="668"/>
    </row>
    <row r="119" ht="15" customHeight="1">
      <c r="A119" s="676"/>
      <c r="B119" s="673">
        <v>141</v>
      </c>
      <c r="C119" s="674">
        <v>-7</v>
      </c>
      <c r="D119" t="s" s="675">
        <v>209</v>
      </c>
      <c r="E119" t="s" s="675">
        <f>"Inject "&amp;'Planner Worksheet'!L19&amp;" (GnRH) to all females."</f>
        <v>382</v>
      </c>
      <c r="F119" s="676"/>
      <c r="G119" s="676"/>
      <c r="H119" t="s" s="675">
        <f>IF('Planner Worksheet'!$G$16=TRUNC(B119/10),IF(I119="","",'Planner Worksheet'!$G$17+C119),"")</f>
      </c>
      <c r="I119" t="s" s="675">
        <v>397</v>
      </c>
      <c r="J119" t="s" s="675">
        <f>"* Inject "&amp;'Planner Worksheet'!L19&amp;" to all females"</f>
        <v>383</v>
      </c>
      <c r="K119" s="676"/>
      <c r="L119" s="677"/>
      <c r="M119" s="676"/>
      <c r="N119" s="676"/>
      <c r="O119" s="676"/>
      <c r="P119" s="676"/>
      <c r="Q119" s="676"/>
      <c r="R119" s="676"/>
      <c r="S119" s="676"/>
      <c r="T119" s="676"/>
      <c r="U119" s="676"/>
      <c r="V119" s="676"/>
      <c r="W119" s="676"/>
      <c r="X119" s="676"/>
      <c r="Y119" s="676"/>
      <c r="Z119" s="676"/>
      <c r="AA119" s="676"/>
      <c r="AB119" s="676"/>
      <c r="AC119" s="676"/>
      <c r="AD119" s="676"/>
      <c r="AE119" s="676"/>
      <c r="AF119" s="676"/>
      <c r="AG119" s="676"/>
      <c r="AH119" s="676"/>
    </row>
    <row r="120" ht="15" customHeight="1">
      <c r="A120" s="663"/>
      <c r="B120" s="664">
        <v>142</v>
      </c>
      <c r="C120" s="665">
        <v>0</v>
      </c>
      <c r="D120" t="s" s="666">
        <v>212</v>
      </c>
      <c r="E120" t="s" s="666">
        <f>"Inject "&amp;'Planner Worksheet'!L20&amp;" (PG) to all females."</f>
        <v>334</v>
      </c>
      <c r="F120" t="s" s="666">
        <v>257</v>
      </c>
      <c r="G120" s="663"/>
      <c r="H120" t="s" s="666">
        <f>IF('Planner Worksheet'!$G$16=TRUNC(B120/10),IF(I120="","",'Planner Worksheet'!$G$17+C120),"")</f>
      </c>
      <c r="I120" t="s" s="666">
        <v>398</v>
      </c>
      <c r="J120" t="s" s="666">
        <f>"* Inject "&amp;'Planner Worksheet'!L20&amp;"- all females"</f>
        <v>335</v>
      </c>
      <c r="K120" s="663"/>
      <c r="L120" s="678"/>
      <c r="M120" s="663"/>
      <c r="N120" s="663"/>
      <c r="O120" s="663"/>
      <c r="P120" s="663"/>
      <c r="Q120" s="663"/>
      <c r="R120" s="663"/>
      <c r="S120" s="663"/>
      <c r="T120" s="663"/>
      <c r="U120" s="663"/>
      <c r="V120" s="663"/>
      <c r="W120" s="663"/>
      <c r="X120" s="663"/>
      <c r="Y120" s="663"/>
      <c r="Z120" s="663"/>
      <c r="AA120" s="663"/>
      <c r="AB120" s="663"/>
      <c r="AC120" s="663"/>
      <c r="AD120" s="663"/>
      <c r="AE120" s="663"/>
      <c r="AF120" s="663"/>
      <c r="AG120" s="663"/>
      <c r="AH120" s="663"/>
    </row>
    <row r="121" ht="15" customHeight="1">
      <c r="A121" s="663"/>
      <c r="B121" s="664">
        <v>143</v>
      </c>
      <c r="C121" s="665">
        <v>1</v>
      </c>
      <c r="D121" t="s" s="666">
        <v>272</v>
      </c>
      <c r="E121" t="s" s="666">
        <v>258</v>
      </c>
      <c r="F121" s="663"/>
      <c r="G121" s="663"/>
      <c r="H121" t="s" s="666">
        <f>IF('Planner Worksheet'!$G$16=TRUNC(B121/10),IF(I121="","",'Planner Worksheet'!$G$17+C121),"")</f>
      </c>
      <c r="I121" s="663"/>
      <c r="J121" s="663"/>
      <c r="K121" s="663"/>
      <c r="L121" s="663"/>
      <c r="M121" s="663"/>
      <c r="N121" s="663"/>
      <c r="O121" s="663"/>
      <c r="P121" s="663"/>
      <c r="Q121" s="663"/>
      <c r="R121" s="663"/>
      <c r="S121" s="663"/>
      <c r="T121" s="663"/>
      <c r="U121" s="663"/>
      <c r="V121" s="663"/>
      <c r="W121" s="663"/>
      <c r="X121" s="663"/>
      <c r="Y121" s="663"/>
      <c r="Z121" s="663"/>
      <c r="AA121" s="663"/>
      <c r="AB121" s="663"/>
      <c r="AC121" s="663"/>
      <c r="AD121" s="663"/>
      <c r="AE121" s="663"/>
      <c r="AF121" s="663"/>
      <c r="AG121" s="663"/>
      <c r="AH121" s="663"/>
    </row>
    <row r="122" ht="15" customHeight="1">
      <c r="A122" s="663"/>
      <c r="B122" s="664">
        <v>144</v>
      </c>
      <c r="C122" s="665">
        <v>2</v>
      </c>
      <c r="D122" t="s" s="666">
        <v>272</v>
      </c>
      <c r="E122" t="s" s="666">
        <v>399</v>
      </c>
      <c r="F122" t="s" s="666">
        <v>258</v>
      </c>
      <c r="G122" s="663"/>
      <c r="H122" t="s" s="666">
        <f>IF('Planner Worksheet'!$G$16=TRUNC(B122/10),IF(I124="","",'Planner Worksheet'!$G$17+C122),"")</f>
      </c>
      <c r="I122" t="s" s="666">
        <v>357</v>
      </c>
      <c r="J122" s="663"/>
      <c r="K122" s="663"/>
      <c r="L122" s="663"/>
      <c r="M122" s="663"/>
      <c r="N122" s="663"/>
      <c r="O122" s="663"/>
      <c r="P122" s="663"/>
      <c r="Q122" s="663"/>
      <c r="R122" s="663"/>
      <c r="S122" s="663"/>
      <c r="T122" s="663"/>
      <c r="U122" s="663"/>
      <c r="V122" s="663"/>
      <c r="W122" s="663"/>
      <c r="X122" s="663"/>
      <c r="Y122" s="663"/>
      <c r="Z122" s="663"/>
      <c r="AA122" s="663"/>
      <c r="AB122" s="663"/>
      <c r="AC122" s="663"/>
      <c r="AD122" s="663"/>
      <c r="AE122" s="663"/>
      <c r="AF122" s="663"/>
      <c r="AG122" s="663"/>
      <c r="AH122" s="663"/>
    </row>
    <row r="123" ht="15" customHeight="1">
      <c r="A123" s="663"/>
      <c r="B123" s="664">
        <v>145</v>
      </c>
      <c r="C123" s="665">
        <v>5</v>
      </c>
      <c r="D123" t="s" s="666">
        <v>276</v>
      </c>
      <c r="E123" t="s" s="666">
        <v>277</v>
      </c>
      <c r="F123" s="663"/>
      <c r="G123" s="683"/>
      <c r="H123" t="s" s="666">
        <f>IF('Planner Worksheet'!$G$16=TRUNC(B123/10),IF(I123="","",'Planner Worksheet'!$G$17+C123),"")</f>
      </c>
      <c r="I123" s="663"/>
      <c r="J123" s="663"/>
      <c r="K123" s="663"/>
      <c r="L123" s="663"/>
      <c r="M123" s="663"/>
      <c r="N123" s="663"/>
      <c r="O123" s="663"/>
      <c r="P123" s="663"/>
      <c r="Q123" s="663"/>
      <c r="R123" s="663"/>
      <c r="S123" s="663"/>
      <c r="T123" s="663"/>
      <c r="U123" s="663"/>
      <c r="V123" s="663"/>
      <c r="W123" s="663"/>
      <c r="X123" s="663"/>
      <c r="Y123" s="663"/>
      <c r="Z123" s="663"/>
      <c r="AA123" s="663"/>
      <c r="AB123" s="663"/>
      <c r="AC123" s="663"/>
      <c r="AD123" s="663"/>
      <c r="AE123" s="663"/>
      <c r="AF123" s="663"/>
      <c r="AG123" s="663"/>
      <c r="AH123" s="663"/>
    </row>
    <row r="124" ht="15" customHeight="1">
      <c r="A124" s="663"/>
      <c r="B124" s="664">
        <v>146</v>
      </c>
      <c r="C124" s="665">
        <f>'Planner Worksheet'!G21+C123</f>
        <v>5</v>
      </c>
      <c r="D124" t="s" s="666">
        <v>217</v>
      </c>
      <c r="E124" t="s" s="666">
        <v>203</v>
      </c>
      <c r="F124" s="663"/>
      <c r="G124" s="663"/>
      <c r="H124" t="s" s="666">
        <f>IF('Planner Worksheet'!$G$16=TRUNC(B124/10),IF(I124="","",'Planner Worksheet'!$G$17+C124),"")</f>
      </c>
      <c r="I124" t="s" s="666">
        <v>283</v>
      </c>
      <c r="J124" s="663"/>
      <c r="K124" s="663"/>
      <c r="L124" s="663"/>
      <c r="M124" s="663"/>
      <c r="N124" s="663"/>
      <c r="O124" s="663"/>
      <c r="P124" s="663"/>
      <c r="Q124" s="663"/>
      <c r="R124" s="663"/>
      <c r="S124" s="663"/>
      <c r="T124" s="663"/>
      <c r="U124" s="663"/>
      <c r="V124" s="663"/>
      <c r="W124" s="663"/>
      <c r="X124" s="663"/>
      <c r="Y124" s="663"/>
      <c r="Z124" s="663"/>
      <c r="AA124" s="663"/>
      <c r="AB124" s="663"/>
      <c r="AC124" s="663"/>
      <c r="AD124" s="663"/>
      <c r="AE124" s="663"/>
      <c r="AF124" s="663"/>
      <c r="AG124" s="663"/>
      <c r="AH124" s="663"/>
    </row>
    <row r="125" ht="15" customHeight="1">
      <c r="A125" s="663"/>
      <c r="B125" s="664">
        <v>147</v>
      </c>
      <c r="C125" s="665">
        <v>23</v>
      </c>
      <c r="D125" t="s" s="666">
        <v>218</v>
      </c>
      <c r="E125" s="663"/>
      <c r="F125" s="663"/>
      <c r="G125" s="663"/>
      <c r="H125" s="663">
        <f>23+H120</f>
      </c>
      <c r="I125" t="s" s="666">
        <v>289</v>
      </c>
      <c r="J125" s="663"/>
      <c r="K125" s="663"/>
      <c r="L125" s="663"/>
      <c r="M125" s="663"/>
      <c r="N125" s="663"/>
      <c r="O125" s="663"/>
      <c r="P125" s="663"/>
      <c r="Q125" s="663"/>
      <c r="R125" s="663"/>
      <c r="S125" s="663"/>
      <c r="T125" s="663"/>
      <c r="U125" s="663"/>
      <c r="V125" s="663"/>
      <c r="W125" s="663"/>
      <c r="X125" s="663"/>
      <c r="Y125" s="663"/>
      <c r="Z125" s="663"/>
      <c r="AA125" s="663"/>
      <c r="AB125" s="663"/>
      <c r="AC125" s="663"/>
      <c r="AD125" s="663"/>
      <c r="AE125" s="663"/>
      <c r="AF125" s="663"/>
      <c r="AG125" s="663"/>
      <c r="AH125" s="663"/>
    </row>
    <row r="126" ht="15" customHeight="1">
      <c r="A126" s="663"/>
      <c r="B126" s="664">
        <v>148</v>
      </c>
      <c r="C126" s="665"/>
      <c r="D126" s="663"/>
      <c r="E126" s="663"/>
      <c r="F126" s="663"/>
      <c r="G126" s="663"/>
      <c r="H126" s="663"/>
      <c r="I126" s="663"/>
      <c r="J126" s="663"/>
      <c r="K126" s="663"/>
      <c r="L126" s="663"/>
      <c r="M126" s="663"/>
      <c r="N126" s="663"/>
      <c r="O126" s="663"/>
      <c r="P126" s="663"/>
      <c r="Q126" s="663"/>
      <c r="R126" s="663"/>
      <c r="S126" s="663"/>
      <c r="T126" s="663"/>
      <c r="U126" s="663"/>
      <c r="V126" s="663"/>
      <c r="W126" s="663"/>
      <c r="X126" s="663"/>
      <c r="Y126" s="663"/>
      <c r="Z126" s="663"/>
      <c r="AA126" s="663"/>
      <c r="AB126" s="663"/>
      <c r="AC126" s="663"/>
      <c r="AD126" s="663"/>
      <c r="AE126" s="663"/>
      <c r="AF126" s="663"/>
      <c r="AG126" s="663"/>
      <c r="AH126" s="663"/>
    </row>
    <row r="127" ht="15" customHeight="1">
      <c r="A127" s="668"/>
      <c r="B127" s="669">
        <v>149</v>
      </c>
      <c r="C127" s="670"/>
      <c r="D127" s="668"/>
      <c r="E127" s="668"/>
      <c r="F127" s="668"/>
      <c r="G127" s="668"/>
      <c r="H127" s="668"/>
      <c r="I127" s="668"/>
      <c r="J127" s="668"/>
      <c r="K127" s="668"/>
      <c r="L127" s="668"/>
      <c r="M127" s="668"/>
      <c r="N127" s="668"/>
      <c r="O127" s="668"/>
      <c r="P127" s="668"/>
      <c r="Q127" s="668"/>
      <c r="R127" s="668"/>
      <c r="S127" s="668"/>
      <c r="T127" s="668"/>
      <c r="U127" s="668"/>
      <c r="V127" s="668"/>
      <c r="W127" s="668"/>
      <c r="X127" s="668"/>
      <c r="Y127" s="668"/>
      <c r="Z127" s="668"/>
      <c r="AA127" s="668"/>
      <c r="AB127" s="668"/>
      <c r="AC127" s="668"/>
      <c r="AD127" s="668"/>
      <c r="AE127" s="668"/>
      <c r="AF127" s="668"/>
      <c r="AG127" s="668"/>
      <c r="AH127" s="668"/>
    </row>
    <row r="128" ht="15" customHeight="1">
      <c r="A128" s="676"/>
      <c r="B128" s="673">
        <v>151</v>
      </c>
      <c r="C128" s="674">
        <v>-7</v>
      </c>
      <c r="D128" t="s" s="675">
        <v>209</v>
      </c>
      <c r="E128" s="676"/>
      <c r="F128" s="676"/>
      <c r="G128" s="676"/>
      <c r="H128" t="s" s="675">
        <f>IF('Planner Worksheet'!$G$16=TRUNC(B128/10),IF(I128="","",'Planner Worksheet'!$G$17+C128),"")</f>
      </c>
      <c r="I128" t="s" s="675">
        <v>400</v>
      </c>
      <c r="J128" s="676"/>
      <c r="K128" s="676"/>
      <c r="L128" s="676"/>
      <c r="M128" s="676"/>
      <c r="N128" s="676"/>
      <c r="O128" s="676"/>
      <c r="P128" s="676"/>
      <c r="Q128" s="676"/>
      <c r="R128" s="676"/>
      <c r="S128" s="676"/>
      <c r="T128" s="676"/>
      <c r="U128" s="676"/>
      <c r="V128" s="676"/>
      <c r="W128" s="676"/>
      <c r="X128" s="676"/>
      <c r="Y128" s="676"/>
      <c r="Z128" s="676"/>
      <c r="AA128" s="676"/>
      <c r="AB128" s="676"/>
      <c r="AC128" s="676"/>
      <c r="AD128" s="676"/>
      <c r="AE128" s="676"/>
      <c r="AF128" s="676"/>
      <c r="AG128" s="676"/>
      <c r="AH128" s="676"/>
    </row>
    <row r="129" ht="15" customHeight="1">
      <c r="A129" s="663"/>
      <c r="B129" s="664">
        <v>152</v>
      </c>
      <c r="C129" s="665">
        <v>0</v>
      </c>
      <c r="D129" t="s" s="666">
        <v>212</v>
      </c>
      <c r="E129" t="s" s="666">
        <f>"Inject "&amp;'Planner Worksheet'!L20&amp;" (PG) to all females."</f>
        <v>334</v>
      </c>
      <c r="F129" t="s" s="666">
        <v>257</v>
      </c>
      <c r="G129" t="s" s="666">
        <v>258</v>
      </c>
      <c r="H129" t="s" s="666">
        <f>IF('Planner Worksheet'!$G$16=TRUNC(B129/10),IF(I129="","",'Planner Worksheet'!$G$17+C129),"")</f>
      </c>
      <c r="I129" t="s" s="666">
        <v>398</v>
      </c>
      <c r="J129" t="s" s="666">
        <f>"* inject "&amp;'Planner Worksheet'!L20&amp;"- all females"</f>
        <v>379</v>
      </c>
      <c r="K129" s="663"/>
      <c r="L129" s="663"/>
      <c r="M129" s="663"/>
      <c r="N129" s="663"/>
      <c r="O129" s="663"/>
      <c r="P129" s="663"/>
      <c r="Q129" s="663"/>
      <c r="R129" s="663"/>
      <c r="S129" s="663"/>
      <c r="T129" s="663"/>
      <c r="U129" s="663"/>
      <c r="V129" s="663"/>
      <c r="W129" s="663"/>
      <c r="X129" s="663"/>
      <c r="Y129" s="663"/>
      <c r="Z129" s="663"/>
      <c r="AA129" s="663"/>
      <c r="AB129" s="663"/>
      <c r="AC129" s="663"/>
      <c r="AD129" s="663"/>
      <c r="AE129" s="663"/>
      <c r="AF129" s="663"/>
      <c r="AG129" s="663"/>
      <c r="AH129" s="663"/>
    </row>
    <row r="130" ht="15" customHeight="1">
      <c r="A130" s="663"/>
      <c r="B130" s="664">
        <v>153</v>
      </c>
      <c r="C130" s="665">
        <v>1</v>
      </c>
      <c r="D130" t="s" s="666">
        <v>272</v>
      </c>
      <c r="E130" t="s" s="666">
        <v>258</v>
      </c>
      <c r="F130" s="663"/>
      <c r="G130" s="663"/>
      <c r="H130" s="663"/>
      <c r="I130" s="663"/>
      <c r="J130" s="663"/>
      <c r="K130" s="663"/>
      <c r="L130" s="663"/>
      <c r="M130" s="663"/>
      <c r="N130" s="663"/>
      <c r="O130" s="663"/>
      <c r="P130" s="663"/>
      <c r="Q130" s="663"/>
      <c r="R130" s="663"/>
      <c r="S130" s="663"/>
      <c r="T130" s="663"/>
      <c r="U130" s="663"/>
      <c r="V130" s="663"/>
      <c r="W130" s="663"/>
      <c r="X130" s="663"/>
      <c r="Y130" s="663"/>
      <c r="Z130" s="663"/>
      <c r="AA130" s="663"/>
      <c r="AB130" s="663"/>
      <c r="AC130" s="663"/>
      <c r="AD130" s="663"/>
      <c r="AE130" s="663"/>
      <c r="AF130" s="663"/>
      <c r="AG130" s="663"/>
      <c r="AH130" s="663"/>
    </row>
    <row r="131" ht="15" customHeight="1">
      <c r="A131" s="663"/>
      <c r="B131" s="664">
        <v>154</v>
      </c>
      <c r="C131" s="665">
        <v>2</v>
      </c>
      <c r="D131" t="s" s="666">
        <v>401</v>
      </c>
      <c r="E131" t="s" s="666">
        <v>272</v>
      </c>
      <c r="F131" t="s" s="666">
        <v>258</v>
      </c>
      <c r="G131" s="663"/>
      <c r="H131" t="s" s="666">
        <f>IF('Planner Worksheet'!$G$16=TRUNC(B131/10),IF(I131="","",'Planner Worksheet'!$G$17+C131),"")</f>
      </c>
      <c r="I131" t="s" s="666">
        <v>357</v>
      </c>
      <c r="J131" s="663"/>
      <c r="K131" s="663"/>
      <c r="L131" s="663"/>
      <c r="M131" s="663"/>
      <c r="N131" s="663"/>
      <c r="O131" s="663"/>
      <c r="P131" s="663"/>
      <c r="Q131" s="663"/>
      <c r="R131" s="663"/>
      <c r="S131" s="663"/>
      <c r="T131" s="663"/>
      <c r="U131" s="663"/>
      <c r="V131" s="663"/>
      <c r="W131" s="663"/>
      <c r="X131" s="663"/>
      <c r="Y131" s="663"/>
      <c r="Z131" s="663"/>
      <c r="AA131" s="663"/>
      <c r="AB131" s="663"/>
      <c r="AC131" s="663"/>
      <c r="AD131" s="663"/>
      <c r="AE131" s="663"/>
      <c r="AF131" s="663"/>
      <c r="AG131" s="663"/>
      <c r="AH131" s="663"/>
    </row>
    <row r="132" ht="15" customHeight="1">
      <c r="A132" s="663"/>
      <c r="B132" s="664">
        <v>155</v>
      </c>
      <c r="C132" s="665">
        <v>5</v>
      </c>
      <c r="D132" t="s" s="666">
        <v>276</v>
      </c>
      <c r="E132" t="s" s="666">
        <v>277</v>
      </c>
      <c r="F132" s="663"/>
      <c r="G132" s="663"/>
      <c r="H132" s="663"/>
      <c r="I132" s="663"/>
      <c r="J132" s="663"/>
      <c r="K132" s="663"/>
      <c r="L132" s="663"/>
      <c r="M132" s="663"/>
      <c r="N132" s="663"/>
      <c r="O132" s="663"/>
      <c r="P132" s="663"/>
      <c r="Q132" s="663"/>
      <c r="R132" s="663"/>
      <c r="S132" s="663"/>
      <c r="T132" s="663"/>
      <c r="U132" s="663"/>
      <c r="V132" s="663"/>
      <c r="W132" s="663"/>
      <c r="X132" s="663"/>
      <c r="Y132" s="663"/>
      <c r="Z132" s="663"/>
      <c r="AA132" s="663"/>
      <c r="AB132" s="663"/>
      <c r="AC132" s="663"/>
      <c r="AD132" s="663"/>
      <c r="AE132" s="663"/>
      <c r="AF132" s="663"/>
      <c r="AG132" s="663"/>
      <c r="AH132" s="663"/>
    </row>
    <row r="133" ht="15" customHeight="1">
      <c r="A133" s="663"/>
      <c r="B133" s="664">
        <v>156</v>
      </c>
      <c r="C133" s="665">
        <f>'Planner Worksheet'!G21+C132</f>
        <v>5</v>
      </c>
      <c r="D133" t="s" s="666">
        <v>217</v>
      </c>
      <c r="E133" t="s" s="666">
        <v>203</v>
      </c>
      <c r="F133" s="663"/>
      <c r="G133" s="663"/>
      <c r="H133" t="s" s="666">
        <f>IF('Planner Worksheet'!$G$16=TRUNC(B133/10),IF(I133="","",'Planner Worksheet'!$G$17+C133),"")</f>
      </c>
      <c r="I133" t="s" s="666">
        <v>283</v>
      </c>
      <c r="J133" s="663"/>
      <c r="K133" s="663"/>
      <c r="L133" s="663"/>
      <c r="M133" s="663"/>
      <c r="N133" s="663"/>
      <c r="O133" s="663"/>
      <c r="P133" s="663"/>
      <c r="Q133" s="663"/>
      <c r="R133" s="663"/>
      <c r="S133" s="663"/>
      <c r="T133" s="663"/>
      <c r="U133" s="663"/>
      <c r="V133" s="663"/>
      <c r="W133" s="663"/>
      <c r="X133" s="663"/>
      <c r="Y133" s="663"/>
      <c r="Z133" s="663"/>
      <c r="AA133" s="663"/>
      <c r="AB133" s="663"/>
      <c r="AC133" s="663"/>
      <c r="AD133" s="663"/>
      <c r="AE133" s="663"/>
      <c r="AF133" s="663"/>
      <c r="AG133" s="663"/>
      <c r="AH133" s="663"/>
    </row>
    <row r="134" ht="15" customHeight="1">
      <c r="A134" s="663"/>
      <c r="B134" s="664">
        <v>157</v>
      </c>
      <c r="C134" s="665">
        <v>23</v>
      </c>
      <c r="D134" t="s" s="666">
        <v>218</v>
      </c>
      <c r="E134" s="663"/>
      <c r="F134" s="663"/>
      <c r="G134" s="663"/>
      <c r="H134" s="663">
        <f>23+H129</f>
      </c>
      <c r="I134" t="s" s="666">
        <v>289</v>
      </c>
      <c r="J134" s="663"/>
      <c r="K134" s="663"/>
      <c r="L134" s="663"/>
      <c r="M134" s="663"/>
      <c r="N134" s="663"/>
      <c r="O134" s="663"/>
      <c r="P134" s="663"/>
      <c r="Q134" s="663"/>
      <c r="R134" s="663"/>
      <c r="S134" s="663"/>
      <c r="T134" s="663"/>
      <c r="U134" s="663"/>
      <c r="V134" s="663"/>
      <c r="W134" s="663"/>
      <c r="X134" s="663"/>
      <c r="Y134" s="663"/>
      <c r="Z134" s="663"/>
      <c r="AA134" s="663"/>
      <c r="AB134" s="663"/>
      <c r="AC134" s="663"/>
      <c r="AD134" s="663"/>
      <c r="AE134" s="663"/>
      <c r="AF134" s="663"/>
      <c r="AG134" s="663"/>
      <c r="AH134" s="663"/>
    </row>
    <row r="135" ht="15" customHeight="1">
      <c r="A135" s="663"/>
      <c r="B135" s="664">
        <v>158</v>
      </c>
      <c r="C135" s="665"/>
      <c r="D135" s="663"/>
      <c r="E135" s="663"/>
      <c r="F135" s="663"/>
      <c r="G135" s="663"/>
      <c r="H135" s="663"/>
      <c r="I135" s="663"/>
      <c r="J135" s="663"/>
      <c r="K135" s="663"/>
      <c r="L135" s="663"/>
      <c r="M135" s="663"/>
      <c r="N135" s="663"/>
      <c r="O135" s="663"/>
      <c r="P135" s="663"/>
      <c r="Q135" s="663"/>
      <c r="R135" s="663"/>
      <c r="S135" s="663"/>
      <c r="T135" s="663"/>
      <c r="U135" s="663"/>
      <c r="V135" s="663"/>
      <c r="W135" s="663"/>
      <c r="X135" s="663"/>
      <c r="Y135" s="663"/>
      <c r="Z135" s="663"/>
      <c r="AA135" s="663"/>
      <c r="AB135" s="663"/>
      <c r="AC135" s="663"/>
      <c r="AD135" s="663"/>
      <c r="AE135" s="663"/>
      <c r="AF135" s="663"/>
      <c r="AG135" s="663"/>
      <c r="AH135" s="663"/>
    </row>
    <row r="136" ht="15" customHeight="1">
      <c r="A136" s="668"/>
      <c r="B136" s="669">
        <v>159</v>
      </c>
      <c r="C136" s="670"/>
      <c r="D136" s="668"/>
      <c r="E136" s="668"/>
      <c r="F136" s="668"/>
      <c r="G136" s="668"/>
      <c r="H136" s="668"/>
      <c r="I136" s="668"/>
      <c r="J136" s="668"/>
      <c r="K136" s="668"/>
      <c r="L136" s="668"/>
      <c r="M136" s="668"/>
      <c r="N136" s="668"/>
      <c r="O136" s="668"/>
      <c r="P136" s="668"/>
      <c r="Q136" s="668"/>
      <c r="R136" s="668"/>
      <c r="S136" s="668"/>
      <c r="T136" s="668"/>
      <c r="U136" s="668"/>
      <c r="V136" s="668"/>
      <c r="W136" s="668"/>
      <c r="X136" s="668"/>
      <c r="Y136" s="668"/>
      <c r="Z136" s="668"/>
      <c r="AA136" s="668"/>
      <c r="AB136" s="668"/>
      <c r="AC136" s="668"/>
      <c r="AD136" s="668"/>
      <c r="AE136" s="668"/>
      <c r="AF136" s="668"/>
      <c r="AG136" s="668"/>
      <c r="AH136" s="668"/>
    </row>
    <row r="137" ht="15" customHeight="1">
      <c r="A137" s="676"/>
      <c r="B137" s="673">
        <v>161</v>
      </c>
      <c r="C137" s="674">
        <v>-7</v>
      </c>
      <c r="D137" t="s" s="675">
        <v>209</v>
      </c>
      <c r="E137" t="s" s="675">
        <f>"Inject "&amp;'Planner Worksheet'!L19&amp;" (GnRH) to all females."</f>
        <v>382</v>
      </c>
      <c r="F137" s="676"/>
      <c r="G137" s="676"/>
      <c r="H137" t="s" s="675">
        <f>IF('Planner Worksheet'!$G$16=TRUNC(B137/10),IF(I137="","",'Planner Worksheet'!$G$17+C137),"")</f>
      </c>
      <c r="I137" t="s" s="675">
        <v>397</v>
      </c>
      <c r="J137" t="s" s="675">
        <f>"* Inject "&amp;'Planner Worksheet'!L19&amp;" to all females"</f>
        <v>383</v>
      </c>
      <c r="K137" s="676"/>
      <c r="L137" s="676"/>
      <c r="M137" s="676"/>
      <c r="N137" s="676"/>
      <c r="O137" s="676"/>
      <c r="P137" s="676"/>
      <c r="Q137" s="676"/>
      <c r="R137" s="676"/>
      <c r="S137" s="676"/>
      <c r="T137" s="676"/>
      <c r="U137" s="676"/>
      <c r="V137" s="676"/>
      <c r="W137" s="676"/>
      <c r="X137" s="676"/>
      <c r="Y137" s="676"/>
      <c r="Z137" s="676"/>
      <c r="AA137" s="676"/>
      <c r="AB137" s="676"/>
      <c r="AC137" s="676"/>
      <c r="AD137" s="676"/>
      <c r="AE137" s="676"/>
      <c r="AF137" s="676"/>
      <c r="AG137" s="676"/>
      <c r="AH137" s="676"/>
    </row>
    <row r="138" ht="15" customHeight="1">
      <c r="A138" s="663">
        <f>H138+F138</f>
      </c>
      <c r="B138" s="664">
        <v>162</v>
      </c>
      <c r="C138" s="665">
        <v>0</v>
      </c>
      <c r="D138" t="s" s="666">
        <v>212</v>
      </c>
      <c r="E138" t="s" s="666">
        <f>"Inject "&amp;'Planner Worksheet'!L20&amp;" (PG) to all females at: "</f>
        <v>386</v>
      </c>
      <c r="F138" s="683">
        <f>'Planner Worksheet'!G18</f>
        <v>0.4166666666666666</v>
      </c>
      <c r="G138" t="s" s="666">
        <v>257</v>
      </c>
      <c r="H138" t="s" s="666">
        <f>IF('Planner Worksheet'!$G$16=TRUNC(B138/10),IF(I138="","",'Planner Worksheet'!$G$17+C138),"")</f>
      </c>
      <c r="I138" t="s" s="666">
        <v>398</v>
      </c>
      <c r="J138" t="s" s="666">
        <f>"* inject "&amp;'Planner Worksheet'!L20&amp;"- all females"</f>
        <v>379</v>
      </c>
      <c r="K138" s="663"/>
      <c r="L138" s="663"/>
      <c r="M138" s="663"/>
      <c r="N138" s="663"/>
      <c r="O138" s="663"/>
      <c r="P138" s="663"/>
      <c r="Q138" s="663"/>
      <c r="R138" s="663"/>
      <c r="S138" s="663"/>
      <c r="T138" s="663"/>
      <c r="U138" s="663"/>
      <c r="V138" s="663"/>
      <c r="W138" s="663"/>
      <c r="X138" s="663"/>
      <c r="Y138" s="663"/>
      <c r="Z138" s="663"/>
      <c r="AA138" s="663"/>
      <c r="AB138" s="663"/>
      <c r="AC138" s="663"/>
      <c r="AD138" s="663"/>
      <c r="AE138" s="663"/>
      <c r="AF138" s="663"/>
      <c r="AG138" s="663"/>
      <c r="AH138" s="663"/>
    </row>
    <row r="139" ht="15" customHeight="1">
      <c r="A139" s="663"/>
      <c r="B139" s="664">
        <v>163</v>
      </c>
      <c r="C139" s="665">
        <v>1</v>
      </c>
      <c r="D139" t="s" s="666">
        <v>272</v>
      </c>
      <c r="E139" t="s" s="666">
        <v>258</v>
      </c>
      <c r="F139" s="663"/>
      <c r="G139" s="663"/>
      <c r="H139" t="s" s="666">
        <f>IF('Planner Worksheet'!$G$16=TRUNC(B139/10),IF(I139="","",'Planner Worksheet'!$G$17+C139),"")</f>
      </c>
      <c r="I139" s="663"/>
      <c r="J139" s="663"/>
      <c r="K139" s="663"/>
      <c r="L139" s="663"/>
      <c r="M139" s="663"/>
      <c r="N139" s="663"/>
      <c r="O139" s="663"/>
      <c r="P139" s="663"/>
      <c r="Q139" s="663"/>
      <c r="R139" s="663"/>
      <c r="S139" s="663"/>
      <c r="T139" s="663"/>
      <c r="U139" s="663"/>
      <c r="V139" s="663"/>
      <c r="W139" s="663"/>
      <c r="X139" s="663"/>
      <c r="Y139" s="663"/>
      <c r="Z139" s="663"/>
      <c r="AA139" s="663"/>
      <c r="AB139" s="663"/>
      <c r="AC139" s="663"/>
      <c r="AD139" s="663"/>
      <c r="AE139" s="663"/>
      <c r="AF139" s="663"/>
      <c r="AG139" s="663"/>
      <c r="AH139" s="663"/>
    </row>
    <row r="140" ht="15" customHeight="1">
      <c r="A140" s="663"/>
      <c r="B140" s="664">
        <v>164</v>
      </c>
      <c r="C140" s="665">
        <v>2</v>
      </c>
      <c r="D140" t="s" s="666">
        <v>272</v>
      </c>
      <c r="E140" t="s" s="666">
        <v>258</v>
      </c>
      <c r="F140" s="663"/>
      <c r="G140" s="663"/>
      <c r="H140" t="s" s="666">
        <f>IF('Planner Worksheet'!$G$16=TRUNC(B140/10),IF(I142="","",'Planner Worksheet'!$G$17+C140),"")</f>
      </c>
      <c r="I140" s="663"/>
      <c r="J140" s="663"/>
      <c r="K140" s="663"/>
      <c r="L140" s="663"/>
      <c r="M140" s="663"/>
      <c r="N140" s="663"/>
      <c r="O140" s="663"/>
      <c r="P140" s="663"/>
      <c r="Q140" s="663"/>
      <c r="R140" s="663"/>
      <c r="S140" s="663"/>
      <c r="T140" s="663"/>
      <c r="U140" s="663"/>
      <c r="V140" s="663"/>
      <c r="W140" s="663"/>
      <c r="X140" s="663"/>
      <c r="Y140" s="663"/>
      <c r="Z140" s="663"/>
      <c r="AA140" s="663"/>
      <c r="AB140" s="663"/>
      <c r="AC140" s="663"/>
      <c r="AD140" s="663"/>
      <c r="AE140" s="663"/>
      <c r="AF140" s="663"/>
      <c r="AG140" s="663"/>
      <c r="AH140" s="663"/>
    </row>
    <row r="141" ht="15" customHeight="1">
      <c r="A141" s="663"/>
      <c r="B141" s="664">
        <v>165</v>
      </c>
      <c r="C141" s="665">
        <v>3</v>
      </c>
      <c r="D141" t="s" s="666">
        <v>276</v>
      </c>
      <c r="E141" t="s" s="666">
        <f>"For females not detected in heat, inject "&amp;'Planner Worksheet'!L19&amp;" (GnRH) &amp; inseminate between the hours:"</f>
        <v>387</v>
      </c>
      <c r="F141" s="663">
        <f>A138+TIME(72,0,0)</f>
      </c>
      <c r="G141" s="663">
        <f>A138+TIME(84,0,0)</f>
      </c>
      <c r="H141" t="s" s="666">
        <f>IF('Planner Worksheet'!$G$16=TRUNC(B141/10),IF(I141="","",'Planner Worksheet'!$G$17+C141),"")</f>
      </c>
      <c r="I141" t="s" s="666">
        <f>"** Inject "&amp;'Planner Worksheet'!L19&amp;" &amp; Clean-up AI (72-84 hrs after "&amp;'Planner Worksheet'!L20&amp;" )"</f>
        <v>388</v>
      </c>
      <c r="J141" s="663"/>
      <c r="K141" s="663"/>
      <c r="L141" s="663"/>
      <c r="M141" s="663"/>
      <c r="N141" s="663"/>
      <c r="O141" s="663"/>
      <c r="P141" s="663"/>
      <c r="Q141" s="663"/>
      <c r="R141" s="663"/>
      <c r="S141" s="663"/>
      <c r="T141" s="663"/>
      <c r="U141" s="663"/>
      <c r="V141" s="663"/>
      <c r="W141" s="663"/>
      <c r="X141" s="663"/>
      <c r="Y141" s="663"/>
      <c r="Z141" s="663"/>
      <c r="AA141" s="663"/>
      <c r="AB141" s="663"/>
      <c r="AC141" s="663"/>
      <c r="AD141" s="663"/>
      <c r="AE141" s="663"/>
      <c r="AF141" s="663"/>
      <c r="AG141" s="663"/>
      <c r="AH141" s="663"/>
    </row>
    <row r="142" ht="15" customHeight="1">
      <c r="A142" s="663"/>
      <c r="B142" s="664">
        <v>166</v>
      </c>
      <c r="C142" s="665">
        <f>'Planner Worksheet'!G21+C141</f>
        <v>3</v>
      </c>
      <c r="D142" t="s" s="666">
        <v>217</v>
      </c>
      <c r="E142" t="s" s="666">
        <v>203</v>
      </c>
      <c r="F142" s="663"/>
      <c r="G142" s="663"/>
      <c r="H142" t="s" s="666">
        <f>IF('Planner Worksheet'!$G$16=TRUNC(B142/10),IF(I142="","",'Planner Worksheet'!$G$17+C142),"")</f>
      </c>
      <c r="I142" t="s" s="666">
        <v>283</v>
      </c>
      <c r="J142" s="663"/>
      <c r="K142" s="663"/>
      <c r="L142" s="663"/>
      <c r="M142" s="663"/>
      <c r="N142" s="663"/>
      <c r="O142" s="663"/>
      <c r="P142" s="663"/>
      <c r="Q142" s="663"/>
      <c r="R142" s="663"/>
      <c r="S142" s="663"/>
      <c r="T142" s="663"/>
      <c r="U142" s="663"/>
      <c r="V142" s="663"/>
      <c r="W142" s="663"/>
      <c r="X142" s="663"/>
      <c r="Y142" s="663"/>
      <c r="Z142" s="663"/>
      <c r="AA142" s="663"/>
      <c r="AB142" s="663"/>
      <c r="AC142" s="663"/>
      <c r="AD142" s="663"/>
      <c r="AE142" s="663"/>
      <c r="AF142" s="663"/>
      <c r="AG142" s="663"/>
      <c r="AH142" s="663"/>
    </row>
    <row r="143" ht="15" customHeight="1">
      <c r="A143" s="663"/>
      <c r="B143" s="664">
        <v>167</v>
      </c>
      <c r="C143" s="665">
        <v>23</v>
      </c>
      <c r="D143" t="s" s="666">
        <v>218</v>
      </c>
      <c r="E143" s="663"/>
      <c r="F143" s="663"/>
      <c r="G143" s="663"/>
      <c r="H143" s="663">
        <f>23+H138</f>
      </c>
      <c r="I143" t="s" s="666">
        <v>289</v>
      </c>
      <c r="J143" s="663"/>
      <c r="K143" s="663"/>
      <c r="L143" s="663"/>
      <c r="M143" s="663"/>
      <c r="N143" s="663"/>
      <c r="O143" s="663"/>
      <c r="P143" s="663"/>
      <c r="Q143" s="663"/>
      <c r="R143" s="663"/>
      <c r="S143" s="663"/>
      <c r="T143" s="663"/>
      <c r="U143" s="663"/>
      <c r="V143" s="663"/>
      <c r="W143" s="663"/>
      <c r="X143" s="663"/>
      <c r="Y143" s="663"/>
      <c r="Z143" s="663"/>
      <c r="AA143" s="663"/>
      <c r="AB143" s="663"/>
      <c r="AC143" s="663"/>
      <c r="AD143" s="663"/>
      <c r="AE143" s="663"/>
      <c r="AF143" s="663"/>
      <c r="AG143" s="663"/>
      <c r="AH143" s="663"/>
    </row>
    <row r="144" ht="15" customHeight="1">
      <c r="A144" s="663"/>
      <c r="B144" s="664">
        <v>168</v>
      </c>
      <c r="C144" s="665"/>
      <c r="D144" s="663"/>
      <c r="E144" s="663"/>
      <c r="F144" s="663"/>
      <c r="G144" s="663"/>
      <c r="H144" s="663"/>
      <c r="I144" s="663"/>
      <c r="J144" s="663"/>
      <c r="K144" s="663"/>
      <c r="L144" s="663"/>
      <c r="M144" s="663"/>
      <c r="N144" s="663"/>
      <c r="O144" s="663"/>
      <c r="P144" s="663"/>
      <c r="Q144" s="663"/>
      <c r="R144" s="663"/>
      <c r="S144" s="663"/>
      <c r="T144" s="663"/>
      <c r="U144" s="663"/>
      <c r="V144" s="663"/>
      <c r="W144" s="663"/>
      <c r="X144" s="663"/>
      <c r="Y144" s="663"/>
      <c r="Z144" s="663"/>
      <c r="AA144" s="663"/>
      <c r="AB144" s="663"/>
      <c r="AC144" s="663"/>
      <c r="AD144" s="663"/>
      <c r="AE144" s="663"/>
      <c r="AF144" s="663"/>
      <c r="AG144" s="663"/>
      <c r="AH144" s="663"/>
    </row>
    <row r="145" ht="15" customHeight="1">
      <c r="A145" s="668"/>
      <c r="B145" s="669">
        <v>169</v>
      </c>
      <c r="C145" s="670"/>
      <c r="D145" s="668"/>
      <c r="E145" s="668"/>
      <c r="F145" s="668"/>
      <c r="G145" s="668"/>
      <c r="H145" s="668"/>
      <c r="I145" s="668"/>
      <c r="J145" s="668"/>
      <c r="K145" s="668"/>
      <c r="L145" s="668"/>
      <c r="M145" s="668"/>
      <c r="N145" s="668"/>
      <c r="O145" s="668"/>
      <c r="P145" s="668"/>
      <c r="Q145" s="668"/>
      <c r="R145" s="668"/>
      <c r="S145" s="668"/>
      <c r="T145" s="668"/>
      <c r="U145" s="668"/>
      <c r="V145" s="668"/>
      <c r="W145" s="668"/>
      <c r="X145" s="668"/>
      <c r="Y145" s="668"/>
      <c r="Z145" s="668"/>
      <c r="AA145" s="668"/>
      <c r="AB145" s="668"/>
      <c r="AC145" s="668"/>
      <c r="AD145" s="668"/>
      <c r="AE145" s="668"/>
      <c r="AF145" s="668"/>
      <c r="AG145" s="668"/>
      <c r="AH145" s="668"/>
    </row>
    <row r="146" ht="15" customHeight="1">
      <c r="A146" s="676">
        <f>H148-2</f>
      </c>
      <c r="B146" s="673">
        <v>171</v>
      </c>
      <c r="C146" s="674">
        <v>-35</v>
      </c>
      <c r="D146" t="s" s="675">
        <v>371</v>
      </c>
      <c r="E146" s="676">
        <f>CONCATENATE("Continue feeding until ",MONTH(A146),"/",DAY(A146),"/",YEAR(A146),".")</f>
      </c>
      <c r="F146" s="676"/>
      <c r="G146" s="676"/>
      <c r="H146" s="680"/>
      <c r="I146" s="676"/>
      <c r="J146" s="676"/>
      <c r="K146" s="676"/>
      <c r="L146" s="676"/>
      <c r="M146" s="676"/>
      <c r="N146" s="676"/>
      <c r="O146" s="676"/>
      <c r="P146" s="676"/>
      <c r="Q146" s="676"/>
      <c r="R146" s="676"/>
      <c r="S146" s="676"/>
      <c r="T146" s="676"/>
      <c r="U146" s="676"/>
      <c r="V146" s="676"/>
      <c r="W146" s="676"/>
      <c r="X146" s="676"/>
      <c r="Y146" s="676"/>
      <c r="Z146" s="676"/>
      <c r="AA146" s="676"/>
      <c r="AB146" s="676"/>
      <c r="AC146" s="676"/>
      <c r="AD146" s="676"/>
      <c r="AE146" s="676"/>
      <c r="AF146" s="676"/>
      <c r="AG146" s="676"/>
      <c r="AH146" s="676"/>
    </row>
    <row r="147" ht="15" customHeight="1">
      <c r="A147" s="663"/>
      <c r="B147" s="664">
        <v>172</v>
      </c>
      <c r="C147" s="665">
        <v>-22</v>
      </c>
      <c r="D147" t="s" s="666">
        <v>374</v>
      </c>
      <c r="E147" s="663"/>
      <c r="F147" s="663"/>
      <c r="G147" s="663"/>
      <c r="H147" s="667"/>
      <c r="I147" s="663"/>
      <c r="J147" s="663"/>
      <c r="K147" s="663"/>
      <c r="L147" s="663"/>
      <c r="M147" s="663"/>
      <c r="N147" s="663"/>
      <c r="O147" s="663"/>
      <c r="P147" s="663"/>
      <c r="Q147" s="663"/>
      <c r="R147" s="663"/>
      <c r="S147" s="663"/>
      <c r="T147" s="663"/>
      <c r="U147" s="663"/>
      <c r="V147" s="663"/>
      <c r="W147" s="663"/>
      <c r="X147" s="663"/>
      <c r="Y147" s="663"/>
      <c r="Z147" s="663"/>
      <c r="AA147" s="663"/>
      <c r="AB147" s="663"/>
      <c r="AC147" s="663"/>
      <c r="AD147" s="663"/>
      <c r="AE147" s="663"/>
      <c r="AF147" s="663"/>
      <c r="AG147" s="663"/>
      <c r="AH147" s="663"/>
    </row>
    <row r="148" ht="15" customHeight="1">
      <c r="A148" s="663"/>
      <c r="B148" s="664">
        <v>173</v>
      </c>
      <c r="C148" s="665">
        <v>-20</v>
      </c>
      <c r="D148" t="s" s="666">
        <v>377</v>
      </c>
      <c r="E148" s="663"/>
      <c r="F148" s="663"/>
      <c r="G148" s="663"/>
      <c r="H148" t="s" s="666">
        <f>IF('Planner Worksheet'!$G$16=TRUNC(B148/10),IF(I148="","",'Planner Worksheet'!$G$17+C148),"")</f>
      </c>
      <c r="I148" t="s" s="666">
        <v>378</v>
      </c>
      <c r="J148" s="663"/>
      <c r="K148" s="663"/>
      <c r="L148" s="663"/>
      <c r="M148" s="663"/>
      <c r="N148" s="663"/>
      <c r="O148" s="663"/>
      <c r="P148" s="663"/>
      <c r="Q148" s="663"/>
      <c r="R148" s="663"/>
      <c r="S148" s="663"/>
      <c r="T148" s="663"/>
      <c r="U148" s="663"/>
      <c r="V148" s="663"/>
      <c r="W148" s="663"/>
      <c r="X148" s="663"/>
      <c r="Y148" s="663"/>
      <c r="Z148" s="663"/>
      <c r="AA148" s="663"/>
      <c r="AB148" s="663"/>
      <c r="AC148" s="663"/>
      <c r="AD148" s="663"/>
      <c r="AE148" s="663"/>
      <c r="AF148" s="663"/>
      <c r="AG148" s="663"/>
      <c r="AH148" s="663"/>
    </row>
    <row r="149" ht="15" customHeight="1">
      <c r="A149" s="688">
        <v>-3</v>
      </c>
      <c r="B149" s="664">
        <v>174</v>
      </c>
      <c r="C149" s="665">
        <v>-10</v>
      </c>
      <c r="D149" t="s" s="666">
        <f>"Inject "&amp;'Planner Worksheet'!L19&amp;" (GnRH) to all females."</f>
        <v>382</v>
      </c>
      <c r="E149" s="663"/>
      <c r="F149" s="663"/>
      <c r="G149" s="663"/>
      <c r="H149" t="s" s="666">
        <f>IF('Planner Worksheet'!$G$16=TRUNC(B149/10),IF(I149="","",'Planner Worksheet'!$G$17+C149),"")</f>
      </c>
      <c r="I149" t="s" s="666">
        <f>"* Inject "&amp;'Planner Worksheet'!L19&amp;" to all females"</f>
        <v>383</v>
      </c>
      <c r="J149" s="663"/>
      <c r="K149" s="663"/>
      <c r="L149" s="663"/>
      <c r="M149" s="663"/>
      <c r="N149" s="663"/>
      <c r="O149" s="663"/>
      <c r="P149" s="663"/>
      <c r="Q149" s="663"/>
      <c r="R149" s="663"/>
      <c r="S149" s="663"/>
      <c r="T149" s="663"/>
      <c r="U149" s="663"/>
      <c r="V149" s="663"/>
      <c r="W149" s="663"/>
      <c r="X149" s="663"/>
      <c r="Y149" s="663"/>
      <c r="Z149" s="663"/>
      <c r="AA149" s="663"/>
      <c r="AB149" s="663"/>
      <c r="AC149" s="663"/>
      <c r="AD149" s="663"/>
      <c r="AE149" s="663"/>
      <c r="AF149" s="663"/>
      <c r="AG149" s="663"/>
      <c r="AH149" s="663"/>
    </row>
    <row r="150" ht="15" customHeight="1">
      <c r="A150" s="663">
        <f>A151-72/24</f>
      </c>
      <c r="B150" s="664">
        <v>175</v>
      </c>
      <c r="C150" s="684">
        <f>A149</f>
        <v>-3</v>
      </c>
      <c r="D150" t="s" s="666">
        <f>"Inject "&amp;'Planner Worksheet'!L20&amp;" (PG) to all females at: "</f>
        <v>386</v>
      </c>
      <c r="E150" s="683">
        <f>'Planner Worksheet'!G18</f>
        <v>0.4166666666666666</v>
      </c>
      <c r="F150" s="663"/>
      <c r="G150" s="663"/>
      <c r="H150" t="s" s="666">
        <f>IF('Planner Worksheet'!$G$16=TRUNC(B150/10),IF(I150="","",'Planner Worksheet'!$G$17+C150),"")</f>
      </c>
      <c r="I150" t="s" s="666">
        <f>"* inject "&amp;'Planner Worksheet'!L20&amp;"- all females"</f>
        <v>379</v>
      </c>
      <c r="J150" s="663"/>
      <c r="K150" s="663"/>
      <c r="L150" s="663"/>
      <c r="M150" s="663"/>
      <c r="N150" s="663"/>
      <c r="O150" s="663"/>
      <c r="P150" s="663"/>
      <c r="Q150" s="663"/>
      <c r="R150" s="663"/>
      <c r="S150" s="663"/>
      <c r="T150" s="663"/>
      <c r="U150" s="663"/>
      <c r="V150" s="663"/>
      <c r="W150" s="663"/>
      <c r="X150" s="663"/>
      <c r="Y150" s="663"/>
      <c r="Z150" s="663"/>
      <c r="AA150" s="663"/>
      <c r="AB150" s="663"/>
      <c r="AC150" s="663"/>
      <c r="AD150" s="663"/>
      <c r="AE150" s="663"/>
      <c r="AF150" s="663"/>
      <c r="AG150" s="663"/>
      <c r="AH150" s="663"/>
    </row>
    <row r="151" ht="15" customHeight="1">
      <c r="A151" s="663">
        <f t="shared" si="107"/>
      </c>
      <c r="B151" s="664">
        <v>176</v>
      </c>
      <c r="C151" s="665">
        <v>0</v>
      </c>
      <c r="D151" t="s" s="666">
        <f>"Inject "&amp;'Planner Worksheet'!L19&amp;" (GnRH) to all females."</f>
        <v>382</v>
      </c>
      <c r="E151" t="s" s="666">
        <v>216</v>
      </c>
      <c r="F151" s="663">
        <f>H151+'Planner Worksheet'!G18-TIME(2,0,0)</f>
      </c>
      <c r="G151" s="663">
        <f>F151+TIME(4,0,0)</f>
      </c>
      <c r="H151" t="s" s="666">
        <f>IF('Planner Worksheet'!$G$16=TRUNC(B151/10),IF(I151="","",'Planner Worksheet'!$G$17+C151),"")</f>
      </c>
      <c r="I151" t="s" s="666">
        <f>"** Inject "&amp;'Planner Worksheet'!L19&amp;" &amp; AI (72 hrs after "&amp;'Planner Worksheet'!L20&amp;" )"</f>
        <v>402</v>
      </c>
      <c r="J151" s="663"/>
      <c r="K151" s="663"/>
      <c r="L151" s="663"/>
      <c r="M151" s="663"/>
      <c r="N151" s="663"/>
      <c r="O151" s="663"/>
      <c r="P151" s="663"/>
      <c r="Q151" s="663"/>
      <c r="R151" s="663"/>
      <c r="S151" s="663"/>
      <c r="T151" s="663"/>
      <c r="U151" s="663"/>
      <c r="V151" s="663"/>
      <c r="W151" s="663"/>
      <c r="X151" s="663"/>
      <c r="Y151" s="663"/>
      <c r="Z151" s="663"/>
      <c r="AA151" s="663"/>
      <c r="AB151" s="663"/>
      <c r="AC151" s="663"/>
      <c r="AD151" s="663"/>
      <c r="AE151" s="663"/>
      <c r="AF151" s="663"/>
      <c r="AG151" s="663"/>
      <c r="AH151" s="663"/>
    </row>
    <row r="152" ht="15" customHeight="1">
      <c r="A152" s="663"/>
      <c r="B152" s="664">
        <v>177</v>
      </c>
      <c r="C152" s="665">
        <f>'Planner Worksheet'!G21</f>
        <v>0</v>
      </c>
      <c r="D152" t="s" s="666">
        <v>217</v>
      </c>
      <c r="E152" t="s" s="666">
        <v>203</v>
      </c>
      <c r="F152" s="663"/>
      <c r="G152" s="663"/>
      <c r="H152" t="s" s="666">
        <f>IF('Planner Worksheet'!$G$16=TRUNC(B152/10),IF(I152="","",'Planner Worksheet'!$G$17+C152),"")</f>
      </c>
      <c r="I152" t="s" s="666">
        <v>283</v>
      </c>
      <c r="J152" s="663"/>
      <c r="K152" s="663"/>
      <c r="L152" s="663"/>
      <c r="M152" s="663"/>
      <c r="N152" s="663"/>
      <c r="O152" s="663"/>
      <c r="P152" s="663"/>
      <c r="Q152" s="663"/>
      <c r="R152" s="663"/>
      <c r="S152" s="663"/>
      <c r="T152" s="663"/>
      <c r="U152" s="663"/>
      <c r="V152" s="663"/>
      <c r="W152" s="663"/>
      <c r="X152" s="663"/>
      <c r="Y152" s="663"/>
      <c r="Z152" s="663"/>
      <c r="AA152" s="663"/>
      <c r="AB152" s="663"/>
      <c r="AC152" s="663"/>
      <c r="AD152" s="663"/>
      <c r="AE152" s="663"/>
      <c r="AF152" s="663"/>
      <c r="AG152" s="663"/>
      <c r="AH152" s="663"/>
    </row>
    <row r="153" ht="15" customHeight="1">
      <c r="A153" s="663"/>
      <c r="B153" s="664">
        <v>178</v>
      </c>
      <c r="C153" s="665">
        <v>21</v>
      </c>
      <c r="D153" t="s" s="666">
        <v>218</v>
      </c>
      <c r="E153" s="663"/>
      <c r="F153" s="663"/>
      <c r="G153" s="663"/>
      <c r="H153" s="663">
        <f>21+H151</f>
      </c>
      <c r="I153" t="s" s="666">
        <v>289</v>
      </c>
      <c r="J153" s="663"/>
      <c r="K153" s="663"/>
      <c r="L153" s="663"/>
      <c r="M153" s="663"/>
      <c r="N153" s="663"/>
      <c r="O153" s="663"/>
      <c r="P153" s="663"/>
      <c r="Q153" s="663"/>
      <c r="R153" s="663"/>
      <c r="S153" s="663"/>
      <c r="T153" s="663"/>
      <c r="U153" s="663"/>
      <c r="V153" s="663"/>
      <c r="W153" s="663"/>
      <c r="X153" s="663"/>
      <c r="Y153" s="663"/>
      <c r="Z153" s="663"/>
      <c r="AA153" s="663"/>
      <c r="AB153" s="663"/>
      <c r="AC153" s="663"/>
      <c r="AD153" s="663"/>
      <c r="AE153" s="663"/>
      <c r="AF153" s="663"/>
      <c r="AG153" s="663"/>
      <c r="AH153" s="663"/>
    </row>
    <row r="154" ht="15" customHeight="1">
      <c r="A154" s="668"/>
      <c r="B154" s="669">
        <v>179</v>
      </c>
      <c r="C154" s="670"/>
      <c r="D154" s="668"/>
      <c r="E154" s="668"/>
      <c r="F154" s="668"/>
      <c r="G154" s="668"/>
      <c r="H154" s="671"/>
      <c r="I154" s="668"/>
      <c r="J154" s="668"/>
      <c r="K154" s="668"/>
      <c r="L154" s="668"/>
      <c r="M154" s="668"/>
      <c r="N154" s="668"/>
      <c r="O154" s="668"/>
      <c r="P154" s="668"/>
      <c r="Q154" s="668"/>
      <c r="R154" s="668"/>
      <c r="S154" s="668"/>
      <c r="T154" s="668"/>
      <c r="U154" s="668"/>
      <c r="V154" s="668"/>
      <c r="W154" s="668"/>
      <c r="X154" s="668"/>
      <c r="Y154" s="668"/>
      <c r="Z154" s="668"/>
      <c r="AA154" s="668"/>
      <c r="AB154" s="668"/>
      <c r="AC154" s="668"/>
      <c r="AD154" s="668"/>
      <c r="AE154" s="668"/>
      <c r="AF154" s="668"/>
      <c r="AG154" s="668"/>
      <c r="AH154" s="668"/>
    </row>
    <row r="155" ht="15" customHeight="1">
      <c r="A155" s="676">
        <f>H157-2</f>
      </c>
      <c r="B155" s="673">
        <v>181</v>
      </c>
      <c r="C155" s="674">
        <f>-14+C156</f>
        <v>-24</v>
      </c>
      <c r="D155" t="s" s="675">
        <v>371</v>
      </c>
      <c r="E155" s="676">
        <f>CONCATENATE("Continue feeding until ",MONTH(A155),"/",DAY(A155),"/",YEAR(A155),".")</f>
      </c>
      <c r="F155" s="676"/>
      <c r="G155" s="676"/>
      <c r="H155" s="676"/>
      <c r="I155" s="676"/>
      <c r="J155" s="676"/>
      <c r="K155" s="676"/>
      <c r="L155" s="676"/>
      <c r="M155" s="676"/>
      <c r="N155" s="676"/>
      <c r="O155" s="676"/>
      <c r="P155" s="676"/>
      <c r="Q155" s="676"/>
      <c r="R155" s="676"/>
      <c r="S155" s="676"/>
      <c r="T155" s="676"/>
      <c r="U155" s="676"/>
      <c r="V155" s="676"/>
      <c r="W155" s="676"/>
      <c r="X155" s="676"/>
      <c r="Y155" s="676"/>
      <c r="Z155" s="676"/>
      <c r="AA155" s="676"/>
      <c r="AB155" s="676"/>
      <c r="AC155" s="676"/>
      <c r="AD155" s="676"/>
      <c r="AE155" s="676"/>
      <c r="AF155" s="676"/>
      <c r="AG155" s="676"/>
      <c r="AH155" s="676"/>
    </row>
    <row r="156" ht="15" customHeight="1">
      <c r="A156" s="663"/>
      <c r="B156" s="664">
        <v>182</v>
      </c>
      <c r="C156" s="665">
        <v>-10</v>
      </c>
      <c r="D156" t="s" s="666">
        <v>374</v>
      </c>
      <c r="E156" t="s" s="666">
        <f>"Inject "&amp;'Planner Worksheet'!L20&amp;" (PG) to all females."</f>
        <v>334</v>
      </c>
      <c r="F156" s="663"/>
      <c r="G156" s="663"/>
      <c r="H156" t="s" s="666">
        <f>IF('Planner Worksheet'!$G$16=TRUNC(B156/10),IF(I156="","",'Planner Worksheet'!$G$17+C156),"")</f>
      </c>
      <c r="I156" t="s" s="666">
        <f>"* Inject "&amp;'Planner Worksheet'!L20&amp;" to all females"</f>
        <v>403</v>
      </c>
      <c r="J156" s="663"/>
      <c r="K156" s="663"/>
      <c r="L156" s="663"/>
      <c r="M156" s="663"/>
      <c r="N156" s="663"/>
      <c r="O156" s="663"/>
      <c r="P156" s="663"/>
      <c r="Q156" s="663"/>
      <c r="R156" s="663"/>
      <c r="S156" s="663"/>
      <c r="T156" s="663"/>
      <c r="U156" s="663"/>
      <c r="V156" s="663"/>
      <c r="W156" s="663"/>
      <c r="X156" s="663"/>
      <c r="Y156" s="663"/>
      <c r="Z156" s="663"/>
      <c r="AA156" s="663"/>
      <c r="AB156" s="663"/>
      <c r="AC156" s="663"/>
      <c r="AD156" s="663"/>
      <c r="AE156" s="663"/>
      <c r="AF156" s="663"/>
      <c r="AG156" s="663"/>
      <c r="AH156" s="663"/>
    </row>
    <row r="157" ht="15" customHeight="1">
      <c r="A157" s="663"/>
      <c r="B157" s="664">
        <v>183</v>
      </c>
      <c r="C157" s="665">
        <v>-8</v>
      </c>
      <c r="D157" t="s" s="666">
        <v>377</v>
      </c>
      <c r="E157" s="663"/>
      <c r="F157" s="663"/>
      <c r="G157" s="663"/>
      <c r="H157" t="s" s="666">
        <f>IF('Planner Worksheet'!$G$16=TRUNC(B157/10),IF(I157="","",'Planner Worksheet'!$G$17+C157),"")</f>
      </c>
      <c r="I157" t="s" s="666">
        <v>378</v>
      </c>
      <c r="J157" s="663"/>
      <c r="K157" s="663"/>
      <c r="L157" s="663"/>
      <c r="M157" s="663"/>
      <c r="N157" s="663"/>
      <c r="O157" s="663"/>
      <c r="P157" s="663"/>
      <c r="Q157" s="663"/>
      <c r="R157" s="663"/>
      <c r="S157" s="663"/>
      <c r="T157" s="663"/>
      <c r="U157" s="663"/>
      <c r="V157" s="663"/>
      <c r="W157" s="663"/>
      <c r="X157" s="663"/>
      <c r="Y157" s="663"/>
      <c r="Z157" s="663"/>
      <c r="AA157" s="663"/>
      <c r="AB157" s="663"/>
      <c r="AC157" s="663"/>
      <c r="AD157" s="663"/>
      <c r="AE157" s="663"/>
      <c r="AF157" s="663"/>
      <c r="AG157" s="663"/>
      <c r="AH157" s="663"/>
    </row>
    <row r="158" ht="15" customHeight="1">
      <c r="A158" s="663">
        <f>IF(A162&gt;59.5,-3,-2)</f>
      </c>
      <c r="B158" s="664">
        <v>184</v>
      </c>
      <c r="C158" s="665">
        <v>-6</v>
      </c>
      <c r="D158" t="s" s="666">
        <f>"Inject "&amp;'Planner Worksheet'!L19&amp;" (GnRH) to all females."</f>
        <v>382</v>
      </c>
      <c r="E158" s="663"/>
      <c r="F158" s="663"/>
      <c r="G158" s="663"/>
      <c r="H158" t="s" s="666">
        <f>IF('Planner Worksheet'!$G$16=TRUNC(B158/10),IF(I158="","",'Planner Worksheet'!$G$17+C158),"")</f>
      </c>
      <c r="I158" t="s" s="666">
        <f>"* Inject "&amp;'Planner Worksheet'!L19&amp;"  - all females"</f>
        <v>404</v>
      </c>
      <c r="J158" s="663"/>
      <c r="K158" s="663"/>
      <c r="L158" s="663"/>
      <c r="M158" s="663"/>
      <c r="N158" s="663"/>
      <c r="O158" s="663"/>
      <c r="P158" s="663"/>
      <c r="Q158" s="663"/>
      <c r="R158" s="663"/>
      <c r="S158" s="663"/>
      <c r="T158" s="663"/>
      <c r="U158" s="663"/>
      <c r="V158" s="663"/>
      <c r="W158" s="663"/>
      <c r="X158" s="663"/>
      <c r="Y158" s="663"/>
      <c r="Z158" s="663"/>
      <c r="AA158" s="663"/>
      <c r="AB158" s="663"/>
      <c r="AC158" s="663"/>
      <c r="AD158" s="663"/>
      <c r="AE158" s="663"/>
      <c r="AF158" s="663"/>
      <c r="AG158" s="663"/>
      <c r="AH158" s="663"/>
    </row>
    <row r="159" ht="15" customHeight="1">
      <c r="A159" s="663">
        <f>A160-60/24</f>
      </c>
      <c r="B159" s="664">
        <v>185</v>
      </c>
      <c r="C159" s="678">
        <f>A158</f>
      </c>
      <c r="D159" t="s" s="666">
        <f>"Inject "&amp;'Planner Worksheet'!L20&amp;" (PG) to all females at: "</f>
        <v>386</v>
      </c>
      <c r="E159" s="663">
        <f>('Planner Worksheet'!G17+'Planner Worksheet'!G18)-TIME(60,0,0)</f>
      </c>
      <c r="F159" s="663"/>
      <c r="G159" s="663"/>
      <c r="H159" t="s" s="666">
        <f>IF('Planner Worksheet'!$G$16=TRUNC(B159/10),IF(I159="","",'Planner Worksheet'!$G$17+C159),"")</f>
      </c>
      <c r="I159" t="s" s="666">
        <f>"* Inject "&amp;'Planner Worksheet'!L20&amp;" to all females"</f>
        <v>403</v>
      </c>
      <c r="J159" s="663"/>
      <c r="K159" s="663"/>
      <c r="L159" s="663"/>
      <c r="M159" s="663"/>
      <c r="N159" s="663"/>
      <c r="O159" s="663"/>
      <c r="P159" s="663"/>
      <c r="Q159" s="663"/>
      <c r="R159" s="663"/>
      <c r="S159" s="663"/>
      <c r="T159" s="663"/>
      <c r="U159" s="663"/>
      <c r="V159" s="663"/>
      <c r="W159" s="663"/>
      <c r="X159" s="663"/>
      <c r="Y159" s="663"/>
      <c r="Z159" s="663"/>
      <c r="AA159" s="663"/>
      <c r="AB159" s="663"/>
      <c r="AC159" s="663"/>
      <c r="AD159" s="663"/>
      <c r="AE159" s="663"/>
      <c r="AF159" s="663"/>
      <c r="AG159" s="663"/>
      <c r="AH159" s="663"/>
    </row>
    <row r="160" ht="15" customHeight="1">
      <c r="A160" s="663">
        <f t="shared" si="107"/>
      </c>
      <c r="B160" s="664">
        <v>186</v>
      </c>
      <c r="C160" s="665">
        <v>0</v>
      </c>
      <c r="D160" t="s" s="666">
        <f>"Inject "&amp;'Planner Worksheet'!L19&amp;" (GnRH) to all females."</f>
        <v>382</v>
      </c>
      <c r="E160" t="s" s="666">
        <v>216</v>
      </c>
      <c r="F160" s="663">
        <f>'Planner Worksheet'!G18-TIME(2,0,0)</f>
        <v>-1460.666666666667</v>
      </c>
      <c r="G160" s="663">
        <f>'Planner Worksheet'!G18+TIME(2,0,0)</f>
      </c>
      <c r="H160" t="s" s="666">
        <f>IF('Planner Worksheet'!$G$16=TRUNC(B160/10),IF(I160="","",'Planner Worksheet'!$G$17+C160),"")</f>
      </c>
      <c r="I160" t="s" s="666">
        <f>"** Inject "&amp;'Planner Worksheet'!L19&amp;" &amp; Fixed Time AI (60 hrs after "&amp;'Planner Worksheet'!L20&amp;" )"</f>
        <v>405</v>
      </c>
      <c r="J160" s="663"/>
      <c r="K160" s="663"/>
      <c r="L160" s="663"/>
      <c r="M160" s="663"/>
      <c r="N160" s="663"/>
      <c r="O160" s="663"/>
      <c r="P160" s="663"/>
      <c r="Q160" s="663"/>
      <c r="R160" s="663"/>
      <c r="S160" s="663"/>
      <c r="T160" s="663"/>
      <c r="U160" s="663"/>
      <c r="V160" s="663"/>
      <c r="W160" s="663"/>
      <c r="X160" s="663"/>
      <c r="Y160" s="663"/>
      <c r="Z160" s="663"/>
      <c r="AA160" s="663"/>
      <c r="AB160" s="663"/>
      <c r="AC160" s="663"/>
      <c r="AD160" s="663"/>
      <c r="AE160" s="663"/>
      <c r="AF160" s="663"/>
      <c r="AG160" s="663"/>
      <c r="AH160" s="663"/>
    </row>
    <row r="161" ht="15" customHeight="1">
      <c r="A161" s="663">
        <f t="shared" si="166"/>
      </c>
      <c r="B161" s="664">
        <v>187</v>
      </c>
      <c r="C161" s="665">
        <f>'Planner Worksheet'!G21</f>
        <v>0</v>
      </c>
      <c r="D161" t="s" s="666">
        <v>217</v>
      </c>
      <c r="E161" t="s" s="666">
        <v>203</v>
      </c>
      <c r="F161" s="663"/>
      <c r="G161" s="663"/>
      <c r="H161" t="s" s="666">
        <f>IF('Planner Worksheet'!$G$16=TRUNC(B161/10),IF(I161="","",'Planner Worksheet'!$G$17+C161),"")</f>
      </c>
      <c r="I161" t="s" s="666">
        <v>283</v>
      </c>
      <c r="J161" s="663"/>
      <c r="K161" s="663"/>
      <c r="L161" s="663"/>
      <c r="M161" s="663"/>
      <c r="N161" s="663"/>
      <c r="O161" s="663"/>
      <c r="P161" s="663"/>
      <c r="Q161" s="663"/>
      <c r="R161" s="663"/>
      <c r="S161" s="663"/>
      <c r="T161" s="663"/>
      <c r="U161" s="663"/>
      <c r="V161" s="663"/>
      <c r="W161" s="663"/>
      <c r="X161" s="663"/>
      <c r="Y161" s="663"/>
      <c r="Z161" s="663"/>
      <c r="AA161" s="663"/>
      <c r="AB161" s="663"/>
      <c r="AC161" s="663"/>
      <c r="AD161" s="663"/>
      <c r="AE161" s="663"/>
      <c r="AF161" s="663"/>
      <c r="AG161" s="663"/>
      <c r="AH161" s="663"/>
    </row>
    <row r="162" ht="15" customHeight="1">
      <c r="A162" s="663">
        <f>60-'Planner Worksheet'!H18</f>
      </c>
      <c r="B162" s="664">
        <v>188</v>
      </c>
      <c r="C162" s="665">
        <v>21</v>
      </c>
      <c r="D162" t="s" s="666">
        <v>218</v>
      </c>
      <c r="E162" s="663"/>
      <c r="F162" s="663"/>
      <c r="G162" s="663"/>
      <c r="H162" s="667"/>
      <c r="I162" t="s" s="666">
        <v>289</v>
      </c>
      <c r="J162" s="663"/>
      <c r="K162" s="663"/>
      <c r="L162" s="663"/>
      <c r="M162" s="663"/>
      <c r="N162" s="663"/>
      <c r="O162" s="663"/>
      <c r="P162" s="663"/>
      <c r="Q162" s="663"/>
      <c r="R162" s="663"/>
      <c r="S162" s="663"/>
      <c r="T162" s="663"/>
      <c r="U162" s="663"/>
      <c r="V162" s="663"/>
      <c r="W162" s="663"/>
      <c r="X162" s="663"/>
      <c r="Y162" s="663"/>
      <c r="Z162" s="663"/>
      <c r="AA162" s="663"/>
      <c r="AB162" s="663"/>
      <c r="AC162" s="663"/>
      <c r="AD162" s="663"/>
      <c r="AE162" s="663"/>
      <c r="AF162" s="663"/>
      <c r="AG162" s="663"/>
      <c r="AH162" s="663"/>
    </row>
    <row r="163" ht="15" customHeight="1">
      <c r="A163" s="671"/>
      <c r="B163" s="669">
        <v>189</v>
      </c>
      <c r="C163" s="670"/>
      <c r="D163" s="668"/>
      <c r="E163" s="668"/>
      <c r="F163" s="668"/>
      <c r="G163" s="668"/>
      <c r="H163" s="668"/>
      <c r="I163" s="668"/>
      <c r="J163" s="668"/>
      <c r="K163" s="668"/>
      <c r="L163" s="668"/>
      <c r="M163" s="668"/>
      <c r="N163" s="668"/>
      <c r="O163" s="668"/>
      <c r="P163" s="668"/>
      <c r="Q163" s="668"/>
      <c r="R163" s="668"/>
      <c r="S163" s="668"/>
      <c r="T163" s="668"/>
      <c r="U163" s="668"/>
      <c r="V163" s="668"/>
      <c r="W163" s="668"/>
      <c r="X163" s="668"/>
      <c r="Y163" s="668"/>
      <c r="Z163" s="668"/>
      <c r="AA163" s="668"/>
      <c r="AB163" s="668"/>
      <c r="AC163" s="668"/>
      <c r="AD163" s="668"/>
      <c r="AE163" s="668"/>
      <c r="AF163" s="668"/>
      <c r="AG163" s="668"/>
      <c r="AH163" s="668"/>
    </row>
    <row r="164" ht="15" customHeight="1">
      <c r="A164" s="676"/>
      <c r="B164" s="673">
        <v>191</v>
      </c>
      <c r="C164" s="674">
        <v>-5</v>
      </c>
      <c r="D164" t="s" s="675">
        <f>"Inject "&amp;'Planner Worksheet'!L19&amp;" (GnRH) to all females."</f>
        <v>382</v>
      </c>
      <c r="E164" s="676"/>
      <c r="F164" s="676"/>
      <c r="G164" s="676"/>
      <c r="H164" t="s" s="675">
        <f>IF('Planner Worksheet'!$G$16=TRUNC(B164/10),IF(I164="","",'Planner Worksheet'!$G$17+C164),"")</f>
      </c>
      <c r="I164" t="s" s="675">
        <f>"* Inject "&amp;'Planner Worksheet'!L19&amp;"  - all females"</f>
        <v>404</v>
      </c>
      <c r="J164" s="676"/>
      <c r="K164" s="676"/>
      <c r="L164" s="676"/>
      <c r="M164" s="676"/>
      <c r="N164" s="676"/>
      <c r="O164" s="676"/>
      <c r="P164" s="676"/>
      <c r="Q164" s="676"/>
      <c r="R164" s="676"/>
      <c r="S164" s="676"/>
      <c r="T164" s="676"/>
      <c r="U164" s="676"/>
      <c r="V164" s="676"/>
      <c r="W164" s="676"/>
      <c r="X164" s="676"/>
      <c r="Y164" s="676"/>
      <c r="Z164" s="676"/>
      <c r="AA164" s="676"/>
      <c r="AB164" s="676"/>
      <c r="AC164" s="676"/>
      <c r="AD164" s="676"/>
      <c r="AE164" s="676"/>
      <c r="AF164" s="676"/>
      <c r="AG164" s="676"/>
      <c r="AH164" s="676"/>
    </row>
    <row r="165" ht="15" customHeight="1">
      <c r="A165" s="663"/>
      <c r="B165" s="664">
        <v>192</v>
      </c>
      <c r="C165" s="665">
        <v>0</v>
      </c>
      <c r="D165" t="s" s="666">
        <v>257</v>
      </c>
      <c r="E165" t="s" s="666">
        <v>258</v>
      </c>
      <c r="F165" s="663"/>
      <c r="G165" s="663"/>
      <c r="H165" s="667"/>
      <c r="I165" s="663"/>
      <c r="J165" s="663"/>
      <c r="K165" s="663"/>
      <c r="L165" s="663"/>
      <c r="M165" s="663"/>
      <c r="N165" s="663"/>
      <c r="O165" s="663"/>
      <c r="P165" s="663"/>
      <c r="Q165" s="663"/>
      <c r="R165" s="663"/>
      <c r="S165" s="663"/>
      <c r="T165" s="663"/>
      <c r="U165" s="663"/>
      <c r="V165" s="663"/>
      <c r="W165" s="663"/>
      <c r="X165" s="663"/>
      <c r="Y165" s="663"/>
      <c r="Z165" s="663"/>
      <c r="AA165" s="663"/>
      <c r="AB165" s="663"/>
      <c r="AC165" s="663"/>
      <c r="AD165" s="663"/>
      <c r="AE165" s="663"/>
      <c r="AF165" s="663"/>
      <c r="AG165" s="663"/>
      <c r="AH165" s="663"/>
    </row>
    <row r="166" ht="15" customHeight="1">
      <c r="A166" s="663"/>
      <c r="B166" s="664">
        <v>193</v>
      </c>
      <c r="C166" s="665">
        <v>2</v>
      </c>
      <c r="D166" t="s" s="666">
        <v>272</v>
      </c>
      <c r="E166" t="s" s="666">
        <v>258</v>
      </c>
      <c r="F166" t="s" s="666">
        <f>"Inject "&amp;'Planner Worksheet'!L20&amp;" (PG) to females not bred AI at:"</f>
        <v>406</v>
      </c>
      <c r="G166" s="663">
        <f>H166+'Planner Worksheet'!G18</f>
      </c>
      <c r="H166" t="s" s="666">
        <f>IF('Planner Worksheet'!$G$16=TRUNC(B166/10),IF(I166="","",'Planner Worksheet'!$G$17+C166),"")</f>
      </c>
      <c r="I166" t="s" s="666">
        <f>"* Inject "&amp;'Planner Worksheet'!L20&amp;" to females not in heat/bred"</f>
        <v>358</v>
      </c>
      <c r="J166" s="663"/>
      <c r="K166" s="663"/>
      <c r="L166" s="663"/>
      <c r="M166" s="663"/>
      <c r="N166" s="663"/>
      <c r="O166" s="663"/>
      <c r="P166" s="663"/>
      <c r="Q166" s="663"/>
      <c r="R166" s="663"/>
      <c r="S166" s="663"/>
      <c r="T166" s="663"/>
      <c r="U166" s="663"/>
      <c r="V166" s="663"/>
      <c r="W166" s="663"/>
      <c r="X166" s="663"/>
      <c r="Y166" s="663"/>
      <c r="Z166" s="663"/>
      <c r="AA166" s="663"/>
      <c r="AB166" s="663"/>
      <c r="AC166" s="663"/>
      <c r="AD166" s="663"/>
      <c r="AE166" s="663"/>
      <c r="AF166" s="663"/>
      <c r="AG166" s="663"/>
      <c r="AH166" s="663"/>
    </row>
    <row r="167" ht="15" customHeight="1">
      <c r="A167" s="663"/>
      <c r="B167" s="664">
        <v>194</v>
      </c>
      <c r="C167" s="665">
        <v>4</v>
      </c>
      <c r="D167" t="s" s="666">
        <v>272</v>
      </c>
      <c r="E167" t="s" s="666">
        <v>258</v>
      </c>
      <c r="F167" s="663"/>
      <c r="G167" s="663"/>
      <c r="H167" t="s" s="666">
        <f>IF('Planner Worksheet'!$G$16=TRUNC(B167/10),IF(I167="","",'Planner Worksheet'!$G$17+C167),"")</f>
      </c>
      <c r="I167" s="663"/>
      <c r="J167" s="663"/>
      <c r="K167" s="663"/>
      <c r="L167" s="663"/>
      <c r="M167" s="663"/>
      <c r="N167" s="663"/>
      <c r="O167" s="663"/>
      <c r="P167" s="663"/>
      <c r="Q167" s="663"/>
      <c r="R167" s="663"/>
      <c r="S167" s="663"/>
      <c r="T167" s="663"/>
      <c r="U167" s="663"/>
      <c r="V167" s="663"/>
      <c r="W167" s="663"/>
      <c r="X167" s="663"/>
      <c r="Y167" s="663"/>
      <c r="Z167" s="663"/>
      <c r="AA167" s="663"/>
      <c r="AB167" s="663"/>
      <c r="AC167" s="663"/>
      <c r="AD167" s="663"/>
      <c r="AE167" s="663"/>
      <c r="AF167" s="663"/>
      <c r="AG167" s="663"/>
      <c r="AH167" s="663"/>
    </row>
    <row r="168" ht="15" customHeight="1">
      <c r="A168" s="663"/>
      <c r="B168" s="664">
        <v>195</v>
      </c>
      <c r="C168" s="665">
        <v>5</v>
      </c>
      <c r="D168" t="s" s="666">
        <v>276</v>
      </c>
      <c r="E168" t="s" s="666">
        <f>"For females not detected in heat, inject "&amp;'Planner Worksheet'!L19&amp;" (GnRH) &amp; inseminate between the hours:"</f>
        <v>387</v>
      </c>
      <c r="F168" s="663">
        <f>H168+'Planner Worksheet'!G18</f>
      </c>
      <c r="G168" s="663">
        <f>F168+TIME(12,0,0)</f>
      </c>
      <c r="H168" t="s" s="666">
        <f>IF('Planner Worksheet'!$G$16=TRUNC(B168/10),IF(I168="","",'Planner Worksheet'!$G$17+C168),"")</f>
      </c>
      <c r="I168" t="s" s="666">
        <f>"** Inject "&amp;'Planner Worksheet'!L19&amp;" &amp; Clean-up AI (72-84 hrs after "&amp;'Planner Worksheet'!L20&amp;" )"</f>
        <v>388</v>
      </c>
      <c r="J168" s="663"/>
      <c r="K168" s="663"/>
      <c r="L168" s="663"/>
      <c r="M168" s="663"/>
      <c r="N168" s="663"/>
      <c r="O168" s="663"/>
      <c r="P168" s="663"/>
      <c r="Q168" s="663"/>
      <c r="R168" s="663"/>
      <c r="S168" s="663"/>
      <c r="T168" s="663"/>
      <c r="U168" s="663"/>
      <c r="V168" s="663"/>
      <c r="W168" s="663"/>
      <c r="X168" s="663"/>
      <c r="Y168" s="663"/>
      <c r="Z168" s="663"/>
      <c r="AA168" s="663"/>
      <c r="AB168" s="663"/>
      <c r="AC168" s="663"/>
      <c r="AD168" s="663"/>
      <c r="AE168" s="663"/>
      <c r="AF168" s="663"/>
      <c r="AG168" s="663"/>
      <c r="AH168" s="663"/>
    </row>
    <row r="169" ht="15" customHeight="1">
      <c r="A169" s="663"/>
      <c r="B169" s="664">
        <v>196</v>
      </c>
      <c r="C169" s="665">
        <f>'Planner Worksheet'!G21+C168</f>
        <v>5</v>
      </c>
      <c r="D169" t="s" s="666">
        <v>217</v>
      </c>
      <c r="E169" t="s" s="666">
        <v>203</v>
      </c>
      <c r="F169" s="663"/>
      <c r="G169" s="663"/>
      <c r="H169" t="s" s="666">
        <f>IF('Planner Worksheet'!$G$16=TRUNC(B169/10),IF(I169="","",'Planner Worksheet'!$G$17+C169),"")</f>
      </c>
      <c r="I169" t="s" s="666">
        <v>283</v>
      </c>
      <c r="J169" s="663"/>
      <c r="K169" s="663"/>
      <c r="L169" s="663"/>
      <c r="M169" s="663"/>
      <c r="N169" s="663"/>
      <c r="O169" s="663"/>
      <c r="P169" s="663"/>
      <c r="Q169" s="663"/>
      <c r="R169" s="663"/>
      <c r="S169" s="663"/>
      <c r="T169" s="663"/>
      <c r="U169" s="663"/>
      <c r="V169" s="663"/>
      <c r="W169" s="663"/>
      <c r="X169" s="663"/>
      <c r="Y169" s="663"/>
      <c r="Z169" s="663"/>
      <c r="AA169" s="663"/>
      <c r="AB169" s="663"/>
      <c r="AC169" s="663"/>
      <c r="AD169" s="663"/>
      <c r="AE169" s="663"/>
      <c r="AF169" s="663"/>
      <c r="AG169" s="663"/>
      <c r="AH169" s="663"/>
    </row>
    <row r="170" ht="15" customHeight="1">
      <c r="A170" s="663"/>
      <c r="B170" s="664">
        <v>197</v>
      </c>
      <c r="C170" s="665">
        <v>25</v>
      </c>
      <c r="D170" t="s" s="666">
        <v>218</v>
      </c>
      <c r="E170" s="663"/>
      <c r="F170" s="663"/>
      <c r="G170" s="663"/>
      <c r="H170" s="663">
        <f>23+H166</f>
      </c>
      <c r="I170" t="s" s="666">
        <v>289</v>
      </c>
      <c r="J170" s="663"/>
      <c r="K170" s="663"/>
      <c r="L170" s="663"/>
      <c r="M170" s="663"/>
      <c r="N170" s="663"/>
      <c r="O170" s="663"/>
      <c r="P170" s="663"/>
      <c r="Q170" s="663"/>
      <c r="R170" s="663"/>
      <c r="S170" s="663"/>
      <c r="T170" s="663"/>
      <c r="U170" s="663"/>
      <c r="V170" s="663"/>
      <c r="W170" s="663"/>
      <c r="X170" s="663"/>
      <c r="Y170" s="663"/>
      <c r="Z170" s="663"/>
      <c r="AA170" s="663"/>
      <c r="AB170" s="663"/>
      <c r="AC170" s="663"/>
      <c r="AD170" s="663"/>
      <c r="AE170" s="663"/>
      <c r="AF170" s="663"/>
      <c r="AG170" s="663"/>
      <c r="AH170" s="663"/>
    </row>
    <row r="171" ht="15" customHeight="1">
      <c r="A171" s="663"/>
      <c r="B171" s="664">
        <v>198</v>
      </c>
      <c r="C171" s="665"/>
      <c r="D171" s="663"/>
      <c r="E171" s="663"/>
      <c r="F171" s="663"/>
      <c r="G171" s="663"/>
      <c r="H171" s="663"/>
      <c r="I171" s="663"/>
      <c r="J171" s="663"/>
      <c r="K171" s="663"/>
      <c r="L171" s="663"/>
      <c r="M171" s="663"/>
      <c r="N171" s="663"/>
      <c r="O171" s="663"/>
      <c r="P171" s="663"/>
      <c r="Q171" s="663"/>
      <c r="R171" s="663"/>
      <c r="S171" s="663"/>
      <c r="T171" s="663"/>
      <c r="U171" s="663"/>
      <c r="V171" s="663"/>
      <c r="W171" s="663"/>
      <c r="X171" s="663"/>
      <c r="Y171" s="663"/>
      <c r="Z171" s="663"/>
      <c r="AA171" s="663"/>
      <c r="AB171" s="663"/>
      <c r="AC171" s="663"/>
      <c r="AD171" s="663"/>
      <c r="AE171" s="663"/>
      <c r="AF171" s="663"/>
      <c r="AG171" s="663"/>
      <c r="AH171" s="663"/>
    </row>
    <row r="172" ht="15" customHeight="1">
      <c r="A172" s="668"/>
      <c r="B172" s="669">
        <v>199</v>
      </c>
      <c r="C172" s="670"/>
      <c r="D172" s="668"/>
      <c r="E172" s="668"/>
      <c r="F172" s="668"/>
      <c r="G172" s="668"/>
      <c r="H172" s="668"/>
      <c r="I172" s="668"/>
      <c r="J172" s="668"/>
      <c r="K172" s="668"/>
      <c r="L172" s="668"/>
      <c r="M172" s="668"/>
      <c r="N172" s="668"/>
      <c r="O172" s="668"/>
      <c r="P172" s="668"/>
      <c r="Q172" s="668"/>
      <c r="R172" s="668"/>
      <c r="S172" s="668"/>
      <c r="T172" s="668"/>
      <c r="U172" s="668"/>
      <c r="V172" s="668"/>
      <c r="W172" s="668"/>
      <c r="X172" s="668"/>
      <c r="Y172" s="668"/>
      <c r="Z172" s="668"/>
      <c r="AA172" s="668"/>
      <c r="AB172" s="668"/>
      <c r="AC172" s="668"/>
      <c r="AD172" s="668"/>
      <c r="AE172" s="668"/>
      <c r="AF172" s="668"/>
      <c r="AG172" s="668"/>
      <c r="AH172" s="668"/>
    </row>
    <row r="173" ht="15" customHeight="1">
      <c r="A173" t="s" s="675">
        <f>H174</f>
      </c>
      <c r="B173" s="673">
        <v>201</v>
      </c>
      <c r="C173" s="674">
        <v>-17</v>
      </c>
      <c r="D173" t="s" s="675">
        <v>371</v>
      </c>
      <c r="E173" s="676">
        <f>CONCATENATE("Continue feeding until ",MONTH(A173),"/",DAY(A173),"/",YEAR(A173),".")</f>
      </c>
      <c r="F173" s="676"/>
      <c r="G173" s="676"/>
      <c r="H173" s="680"/>
      <c r="I173" s="676"/>
      <c r="J173" s="676"/>
      <c r="K173" s="676"/>
      <c r="L173" s="676"/>
      <c r="M173" s="676"/>
      <c r="N173" s="676"/>
      <c r="O173" s="676"/>
      <c r="P173" s="676"/>
      <c r="Q173" s="676"/>
      <c r="R173" s="676"/>
      <c r="S173" s="676"/>
      <c r="T173" s="676"/>
      <c r="U173" s="676"/>
      <c r="V173" s="676"/>
      <c r="W173" s="676"/>
      <c r="X173" s="676"/>
      <c r="Y173" s="676"/>
      <c r="Z173" s="676"/>
      <c r="AA173" s="676"/>
      <c r="AB173" s="676"/>
      <c r="AC173" s="676"/>
      <c r="AD173" s="676"/>
      <c r="AE173" s="676"/>
      <c r="AF173" s="676"/>
      <c r="AG173" s="676"/>
      <c r="AH173" s="676"/>
    </row>
    <row r="174" ht="15" customHeight="1">
      <c r="A174" s="663"/>
      <c r="B174" s="664">
        <v>202</v>
      </c>
      <c r="C174" s="665">
        <v>-11</v>
      </c>
      <c r="D174" t="s" s="666">
        <v>374</v>
      </c>
      <c r="E174" t="s" s="666">
        <f>"Inject "&amp;'Planner Worksheet'!L20&amp;" (PG) to all females."</f>
        <v>334</v>
      </c>
      <c r="F174" s="663"/>
      <c r="G174" s="663"/>
      <c r="H174" t="s" s="666">
        <f>IF('Planner Worksheet'!$G$16=TRUNC(B174/10),IF(I174="","",'Planner Worksheet'!$G$17+C174),"")</f>
      </c>
      <c r="I174" t="s" s="666">
        <f>"* Inject "&amp;'Planner Worksheet'!L20&amp;"- all females"</f>
        <v>335</v>
      </c>
      <c r="J174" s="663"/>
      <c r="K174" s="663"/>
      <c r="L174" s="663"/>
      <c r="M174" s="663"/>
      <c r="N174" s="663"/>
      <c r="O174" s="663"/>
      <c r="P174" s="663"/>
      <c r="Q174" s="663"/>
      <c r="R174" s="663"/>
      <c r="S174" s="663"/>
      <c r="T174" s="663"/>
      <c r="U174" s="663"/>
      <c r="V174" s="663"/>
      <c r="W174" s="663"/>
      <c r="X174" s="663"/>
      <c r="Y174" s="663"/>
      <c r="Z174" s="663"/>
      <c r="AA174" s="663"/>
      <c r="AB174" s="663"/>
      <c r="AC174" s="663"/>
      <c r="AD174" s="663"/>
      <c r="AE174" s="663"/>
      <c r="AF174" s="663"/>
      <c r="AG174" s="663"/>
      <c r="AH174" s="663"/>
    </row>
    <row r="175" ht="15" customHeight="1">
      <c r="A175" s="663"/>
      <c r="B175" s="664">
        <v>203</v>
      </c>
      <c r="C175" s="665">
        <v>-7</v>
      </c>
      <c r="D175" t="s" s="666">
        <f>"Inject "&amp;'Planner Worksheet'!L19&amp;" (GnRH) to all females."</f>
        <v>382</v>
      </c>
      <c r="E175" s="663"/>
      <c r="F175" s="663"/>
      <c r="G175" s="663"/>
      <c r="H175" t="s" s="666">
        <f>IF('Planner Worksheet'!$G$16=TRUNC(B175/10),IF(I175="","",'Planner Worksheet'!$G$17+C175),"")</f>
      </c>
      <c r="I175" t="s" s="666">
        <f>"* Inject "&amp;'Planner Worksheet'!L19&amp;" to all females"</f>
        <v>383</v>
      </c>
      <c r="J175" s="663"/>
      <c r="K175" s="663"/>
      <c r="L175" s="663"/>
      <c r="M175" s="663"/>
      <c r="N175" s="663"/>
      <c r="O175" s="663"/>
      <c r="P175" s="663"/>
      <c r="Q175" s="663"/>
      <c r="R175" s="663"/>
      <c r="S175" s="663"/>
      <c r="T175" s="663"/>
      <c r="U175" s="663"/>
      <c r="V175" s="663"/>
      <c r="W175" s="663"/>
      <c r="X175" s="663"/>
      <c r="Y175" s="663"/>
      <c r="Z175" s="663"/>
      <c r="AA175" s="663"/>
      <c r="AB175" s="663"/>
      <c r="AC175" s="663"/>
      <c r="AD175" s="663"/>
      <c r="AE175" s="663"/>
      <c r="AF175" s="663"/>
      <c r="AG175" s="663"/>
      <c r="AH175" s="663"/>
    </row>
    <row r="176" ht="15" customHeight="1">
      <c r="A176" s="663"/>
      <c r="B176" s="664">
        <v>204</v>
      </c>
      <c r="C176" s="665">
        <v>0</v>
      </c>
      <c r="D176" t="s" s="666">
        <v>407</v>
      </c>
      <c r="E176" s="683">
        <f>'Planner Worksheet'!G18</f>
        <v>0.4166666666666666</v>
      </c>
      <c r="F176" t="s" s="666">
        <v>257</v>
      </c>
      <c r="G176" t="s" s="666">
        <v>258</v>
      </c>
      <c r="H176" t="s" s="666">
        <f>IF('Planner Worksheet'!$G$16=TRUNC(B176/10),IF(I176="","",'Planner Worksheet'!$G$17+C176),"")</f>
      </c>
      <c r="I176" t="s" s="666">
        <f>"* inject "&amp;'Planner Worksheet'!L20&amp;"- all females"</f>
        <v>379</v>
      </c>
      <c r="J176" s="663"/>
      <c r="K176" s="663"/>
      <c r="L176" s="663"/>
      <c r="M176" s="663"/>
      <c r="N176" s="663"/>
      <c r="O176" s="663"/>
      <c r="P176" s="663"/>
      <c r="Q176" s="663"/>
      <c r="R176" s="663"/>
      <c r="S176" s="663"/>
      <c r="T176" s="663"/>
      <c r="U176" s="663"/>
      <c r="V176" s="663"/>
      <c r="W176" s="663"/>
      <c r="X176" s="663"/>
      <c r="Y176" s="663"/>
      <c r="Z176" s="663"/>
      <c r="AA176" s="663"/>
      <c r="AB176" s="663"/>
      <c r="AC176" s="663"/>
      <c r="AD176" s="663"/>
      <c r="AE176" s="663"/>
      <c r="AF176" s="663"/>
      <c r="AG176" s="663"/>
      <c r="AH176" s="663"/>
    </row>
    <row r="177" ht="15" customHeight="1">
      <c r="A177" s="663"/>
      <c r="B177" s="664">
        <v>205</v>
      </c>
      <c r="C177" s="665">
        <v>1</v>
      </c>
      <c r="D177" t="s" s="666">
        <v>272</v>
      </c>
      <c r="E177" t="s" s="666">
        <v>258</v>
      </c>
      <c r="F177" s="663"/>
      <c r="G177" s="663"/>
      <c r="H177" s="667"/>
      <c r="I177" s="663"/>
      <c r="J177" s="663"/>
      <c r="K177" s="663"/>
      <c r="L177" s="663"/>
      <c r="M177" s="663"/>
      <c r="N177" s="663"/>
      <c r="O177" s="663"/>
      <c r="P177" s="663"/>
      <c r="Q177" s="663"/>
      <c r="R177" s="663"/>
      <c r="S177" s="663"/>
      <c r="T177" s="663"/>
      <c r="U177" s="663"/>
      <c r="V177" s="663"/>
      <c r="W177" s="663"/>
      <c r="X177" s="663"/>
      <c r="Y177" s="663"/>
      <c r="Z177" s="663"/>
      <c r="AA177" s="663"/>
      <c r="AB177" s="663"/>
      <c r="AC177" s="663"/>
      <c r="AD177" s="663"/>
      <c r="AE177" s="663"/>
      <c r="AF177" s="663"/>
      <c r="AG177" s="663"/>
      <c r="AH177" s="663"/>
    </row>
    <row r="178" ht="15" customHeight="1">
      <c r="A178" s="663"/>
      <c r="B178" s="664">
        <v>206</v>
      </c>
      <c r="C178" s="665">
        <v>2</v>
      </c>
      <c r="D178" t="s" s="666">
        <v>272</v>
      </c>
      <c r="E178" t="s" s="666">
        <v>258</v>
      </c>
      <c r="F178" s="663"/>
      <c r="G178" s="663"/>
      <c r="H178" t="s" s="666">
        <f>IF('Planner Worksheet'!$G$16=TRUNC(B178/10),IF(I178="","",'Planner Worksheet'!$G$17+C178),"")</f>
      </c>
      <c r="I178" s="663"/>
      <c r="J178" s="663"/>
      <c r="K178" s="663"/>
      <c r="L178" s="663"/>
      <c r="M178" s="663"/>
      <c r="N178" s="663"/>
      <c r="O178" s="663"/>
      <c r="P178" s="663"/>
      <c r="Q178" s="663"/>
      <c r="R178" s="663"/>
      <c r="S178" s="663"/>
      <c r="T178" s="663"/>
      <c r="U178" s="663"/>
      <c r="V178" s="663"/>
      <c r="W178" s="663"/>
      <c r="X178" s="663"/>
      <c r="Y178" s="663"/>
      <c r="Z178" s="663"/>
      <c r="AA178" s="663"/>
      <c r="AB178" s="663"/>
      <c r="AC178" s="663"/>
      <c r="AD178" s="663"/>
      <c r="AE178" s="663"/>
      <c r="AF178" s="663"/>
      <c r="AG178" s="663"/>
      <c r="AH178" s="663"/>
    </row>
    <row r="179" ht="15" customHeight="1">
      <c r="A179" s="663"/>
      <c r="B179" s="664">
        <v>207</v>
      </c>
      <c r="C179" s="665">
        <v>3</v>
      </c>
      <c r="D179" t="s" s="666">
        <v>276</v>
      </c>
      <c r="E179" t="s" s="666">
        <f>"For females not detected in heat, inject "&amp;'Planner Worksheet'!L19&amp;" (GnRH) &amp; inseminate between the hours:"</f>
        <v>387</v>
      </c>
      <c r="F179" s="663">
        <f>H179+3+'Planner Worksheet'!G18</f>
      </c>
      <c r="G179" s="663">
        <f>F179+TIME(12,0,0)</f>
      </c>
      <c r="H179" t="s" s="666">
        <f>IF('Planner Worksheet'!$G$16=TRUNC(B179/10),IF(I179="","",'Planner Worksheet'!$G$17+C179),"")</f>
      </c>
      <c r="I179" t="s" s="666">
        <f>"** Inject "&amp;'Planner Worksheet'!L19&amp;" &amp; Clean-up AI (72-84 hrs after "&amp;'Planner Worksheet'!L20&amp;" )"</f>
        <v>388</v>
      </c>
      <c r="J179" s="663"/>
      <c r="K179" s="663"/>
      <c r="L179" s="663"/>
      <c r="M179" s="663"/>
      <c r="N179" s="663"/>
      <c r="O179" s="663"/>
      <c r="P179" s="663"/>
      <c r="Q179" s="663"/>
      <c r="R179" s="663"/>
      <c r="S179" s="663"/>
      <c r="T179" s="663"/>
      <c r="U179" s="663"/>
      <c r="V179" s="663"/>
      <c r="W179" s="663"/>
      <c r="X179" s="663"/>
      <c r="Y179" s="663"/>
      <c r="Z179" s="663"/>
      <c r="AA179" s="663"/>
      <c r="AB179" s="663"/>
      <c r="AC179" s="663"/>
      <c r="AD179" s="663"/>
      <c r="AE179" s="663"/>
      <c r="AF179" s="663"/>
      <c r="AG179" s="663"/>
      <c r="AH179" s="663"/>
    </row>
    <row r="180" ht="15" customHeight="1">
      <c r="A180" s="663"/>
      <c r="B180" s="664">
        <v>208</v>
      </c>
      <c r="C180" s="665">
        <f>'Planner Worksheet'!G21+C179</f>
        <v>3</v>
      </c>
      <c r="D180" t="s" s="666">
        <v>217</v>
      </c>
      <c r="E180" t="s" s="666">
        <v>203</v>
      </c>
      <c r="F180" s="663"/>
      <c r="G180" s="663"/>
      <c r="H180" t="s" s="666">
        <f>IF('Planner Worksheet'!$G$16=TRUNC(B180/10),IF(I180="","",'Planner Worksheet'!$G$17+C180),"")</f>
      </c>
      <c r="I180" t="s" s="666">
        <v>283</v>
      </c>
      <c r="J180" s="663"/>
      <c r="K180" s="663"/>
      <c r="L180" s="663"/>
      <c r="M180" s="663"/>
      <c r="N180" s="663"/>
      <c r="O180" s="663"/>
      <c r="P180" s="663"/>
      <c r="Q180" s="663"/>
      <c r="R180" s="663"/>
      <c r="S180" s="663"/>
      <c r="T180" s="663"/>
      <c r="U180" s="663"/>
      <c r="V180" s="663"/>
      <c r="W180" s="663"/>
      <c r="X180" s="663"/>
      <c r="Y180" s="663"/>
      <c r="Z180" s="663"/>
      <c r="AA180" s="663"/>
      <c r="AB180" s="663"/>
      <c r="AC180" s="663"/>
      <c r="AD180" s="663"/>
      <c r="AE180" s="663"/>
      <c r="AF180" s="663"/>
      <c r="AG180" s="663"/>
      <c r="AH180" s="663"/>
    </row>
    <row r="181" ht="15" customHeight="1">
      <c r="A181" s="668"/>
      <c r="B181" s="669">
        <v>209</v>
      </c>
      <c r="C181" s="670">
        <v>23</v>
      </c>
      <c r="D181" t="s" s="681">
        <v>218</v>
      </c>
      <c r="E181" s="668"/>
      <c r="F181" s="668"/>
      <c r="G181" s="668"/>
      <c r="H181" s="668">
        <f>23+H176</f>
      </c>
      <c r="I181" s="668"/>
      <c r="J181" s="668"/>
      <c r="K181" s="668"/>
      <c r="L181" s="668"/>
      <c r="M181" s="668"/>
      <c r="N181" s="668"/>
      <c r="O181" s="668"/>
      <c r="P181" s="668"/>
      <c r="Q181" s="668"/>
      <c r="R181" s="668"/>
      <c r="S181" s="668"/>
      <c r="T181" s="668"/>
      <c r="U181" s="668"/>
      <c r="V181" s="668"/>
      <c r="W181" s="668"/>
      <c r="X181" s="668"/>
      <c r="Y181" s="668"/>
      <c r="Z181" s="668"/>
      <c r="AA181" s="668"/>
      <c r="AB181" s="668"/>
      <c r="AC181" s="668"/>
      <c r="AD181" s="668"/>
      <c r="AE181" s="668"/>
      <c r="AF181" s="668"/>
      <c r="AG181" s="668"/>
      <c r="AH181" s="668"/>
    </row>
    <row r="182" ht="15" customHeight="1">
      <c r="A182" s="676"/>
      <c r="B182" s="673">
        <v>211</v>
      </c>
      <c r="C182" s="674">
        <v>-5</v>
      </c>
      <c r="D182" t="s" s="675">
        <f>"Inject "&amp;'Planner Worksheet'!L19&amp;" (GnRH) to all females."</f>
        <v>382</v>
      </c>
      <c r="E182" s="676"/>
      <c r="F182" s="676"/>
      <c r="G182" s="676"/>
      <c r="H182" t="s" s="675">
        <f>IF('Planner Worksheet'!$G$16=TRUNC(B182/10),IF(I182="","",'Planner Worksheet'!$G$17+C182),"")</f>
      </c>
      <c r="I182" t="s" s="675">
        <f>"* Inject "&amp;'Planner Worksheet'!L19&amp;" to all females"</f>
        <v>383</v>
      </c>
      <c r="J182" s="676"/>
      <c r="K182" s="676"/>
      <c r="L182" s="676"/>
      <c r="M182" s="676"/>
      <c r="N182" s="676"/>
      <c r="O182" s="676"/>
      <c r="P182" s="676"/>
      <c r="Q182" s="676"/>
      <c r="R182" s="676"/>
      <c r="S182" s="676"/>
      <c r="T182" s="676"/>
      <c r="U182" s="676"/>
      <c r="V182" s="676"/>
      <c r="W182" s="676"/>
      <c r="X182" s="676"/>
      <c r="Y182" s="676"/>
      <c r="Z182" s="676"/>
      <c r="AA182" s="676"/>
      <c r="AB182" s="676"/>
      <c r="AC182" s="676"/>
      <c r="AD182" s="676"/>
      <c r="AE182" s="676"/>
      <c r="AF182" s="676"/>
      <c r="AG182" s="676"/>
      <c r="AH182" s="676"/>
    </row>
    <row r="183" ht="15" customHeight="1">
      <c r="A183" s="663"/>
      <c r="B183" s="664">
        <v>212</v>
      </c>
      <c r="C183" s="665">
        <v>0</v>
      </c>
      <c r="D183" t="s" s="666">
        <v>257</v>
      </c>
      <c r="E183" t="s" s="666">
        <v>258</v>
      </c>
      <c r="F183" s="663"/>
      <c r="G183" s="683"/>
      <c r="H183" t="s" s="666">
        <f>IF('Planner Worksheet'!$G$16=TRUNC(B182/10),IF(I183="","",'Planner Worksheet'!$G$17+C183),"")</f>
      </c>
      <c r="I183" s="663"/>
      <c r="J183" s="663"/>
      <c r="K183" s="663"/>
      <c r="L183" s="663"/>
      <c r="M183" s="663"/>
      <c r="N183" s="663"/>
      <c r="O183" s="663"/>
      <c r="P183" s="663"/>
      <c r="Q183" s="663"/>
      <c r="R183" s="663"/>
      <c r="S183" s="663"/>
      <c r="T183" s="663"/>
      <c r="U183" s="663"/>
      <c r="V183" s="663"/>
      <c r="W183" s="663"/>
      <c r="X183" s="663"/>
      <c r="Y183" s="663"/>
      <c r="Z183" s="663"/>
      <c r="AA183" s="663"/>
      <c r="AB183" s="663"/>
      <c r="AC183" s="663"/>
      <c r="AD183" s="663"/>
      <c r="AE183" s="663"/>
      <c r="AF183" s="663"/>
      <c r="AG183" s="663"/>
      <c r="AH183" s="663"/>
    </row>
    <row r="184" ht="15" customHeight="1">
      <c r="A184" s="663"/>
      <c r="B184" s="664">
        <v>213</v>
      </c>
      <c r="C184" s="665">
        <v>2</v>
      </c>
      <c r="D184" t="s" s="666">
        <v>272</v>
      </c>
      <c r="E184" t="s" s="666">
        <v>258</v>
      </c>
      <c r="F184" t="s" s="666">
        <f>"Inject "&amp;'Planner Worksheet'!L20&amp;" (PG) to all females."</f>
        <v>334</v>
      </c>
      <c r="G184" s="683">
        <f>'Planner Worksheet'!G18</f>
        <v>0.4166666666666666</v>
      </c>
      <c r="H184" t="s" s="666">
        <f>IF('Planner Worksheet'!$G$16=TRUNC(B183/10),IF(I184="","",'Planner Worksheet'!$G$17+C184),"")</f>
      </c>
      <c r="I184" t="s" s="666">
        <f>"* inject "&amp;'Planner Worksheet'!L20&amp;"- all females"</f>
        <v>379</v>
      </c>
      <c r="J184" s="663"/>
      <c r="K184" s="663"/>
      <c r="L184" s="663"/>
      <c r="M184" s="663"/>
      <c r="N184" s="663"/>
      <c r="O184" s="663"/>
      <c r="P184" s="663"/>
      <c r="Q184" s="663"/>
      <c r="R184" s="663"/>
      <c r="S184" s="663"/>
      <c r="T184" s="663"/>
      <c r="U184" s="663"/>
      <c r="V184" s="663"/>
      <c r="W184" s="663"/>
      <c r="X184" s="663"/>
      <c r="Y184" s="663"/>
      <c r="Z184" s="663"/>
      <c r="AA184" s="663"/>
      <c r="AB184" s="663"/>
      <c r="AC184" s="663"/>
      <c r="AD184" s="663"/>
      <c r="AE184" s="663"/>
      <c r="AF184" s="663"/>
      <c r="AG184" s="663"/>
      <c r="AH184" s="663"/>
    </row>
    <row r="185" ht="15" customHeight="1">
      <c r="A185" s="663"/>
      <c r="B185" s="664">
        <v>214</v>
      </c>
      <c r="C185" s="665">
        <v>5</v>
      </c>
      <c r="D185" t="s" s="666">
        <v>276</v>
      </c>
      <c r="E185" t="s" s="666">
        <v>408</v>
      </c>
      <c r="F185" s="663">
        <f>H185+'Planner Worksheet'!G18</f>
      </c>
      <c r="G185" s="663">
        <f>F185+TIME(12,0,0)</f>
      </c>
      <c r="H185" t="s" s="666">
        <f>IF('Planner Worksheet'!$G$16=TRUNC(B184/10),IF(I185="","",'Planner Worksheet'!$G$17+C185),"")</f>
      </c>
      <c r="I185" t="s" s="666">
        <f>"** Inject "&amp;'Planner Worksheet'!L19&amp;" &amp; Clean-up AI (72-84 hrs after "&amp;'Planner Worksheet'!L20&amp;" )"</f>
        <v>388</v>
      </c>
      <c r="J185" s="663"/>
      <c r="K185" s="663"/>
      <c r="L185" s="663"/>
      <c r="M185" s="663"/>
      <c r="N185" s="663"/>
      <c r="O185" s="663"/>
      <c r="P185" s="663"/>
      <c r="Q185" s="663"/>
      <c r="R185" s="663"/>
      <c r="S185" s="663"/>
      <c r="T185" s="663"/>
      <c r="U185" s="663"/>
      <c r="V185" s="663"/>
      <c r="W185" s="663"/>
      <c r="X185" s="663"/>
      <c r="Y185" s="663"/>
      <c r="Z185" s="663"/>
      <c r="AA185" s="663"/>
      <c r="AB185" s="663"/>
      <c r="AC185" s="663"/>
      <c r="AD185" s="663"/>
      <c r="AE185" s="663"/>
      <c r="AF185" s="663"/>
      <c r="AG185" s="663"/>
      <c r="AH185" s="663"/>
    </row>
    <row r="186" ht="15" customHeight="1">
      <c r="A186" s="663"/>
      <c r="B186" s="664">
        <v>215</v>
      </c>
      <c r="C186" s="665">
        <f>'Planner Worksheet'!G21+C185</f>
        <v>5</v>
      </c>
      <c r="D186" t="s" s="666">
        <v>217</v>
      </c>
      <c r="E186" t="s" s="666">
        <v>203</v>
      </c>
      <c r="F186" s="663"/>
      <c r="G186" s="663"/>
      <c r="H186" t="s" s="666">
        <f>IF('Planner Worksheet'!$G$16=TRUNC(B185/10),IF(I186="","",'Planner Worksheet'!$G$17+C186),"")</f>
      </c>
      <c r="I186" t="s" s="666">
        <v>283</v>
      </c>
      <c r="J186" s="663"/>
      <c r="K186" s="663"/>
      <c r="L186" s="663"/>
      <c r="M186" s="663"/>
      <c r="N186" s="663"/>
      <c r="O186" s="663"/>
      <c r="P186" s="663"/>
      <c r="Q186" s="663"/>
      <c r="R186" s="663"/>
      <c r="S186" s="663"/>
      <c r="T186" s="663"/>
      <c r="U186" s="663"/>
      <c r="V186" s="663"/>
      <c r="W186" s="663"/>
      <c r="X186" s="663"/>
      <c r="Y186" s="663"/>
      <c r="Z186" s="663"/>
      <c r="AA186" s="663"/>
      <c r="AB186" s="663"/>
      <c r="AC186" s="663"/>
      <c r="AD186" s="663"/>
      <c r="AE186" s="663"/>
      <c r="AF186" s="663"/>
      <c r="AG186" s="663"/>
      <c r="AH186" s="663"/>
    </row>
    <row r="187" ht="15" customHeight="1">
      <c r="A187" s="663"/>
      <c r="B187" s="664">
        <v>216</v>
      </c>
      <c r="C187" s="665">
        <v>25</v>
      </c>
      <c r="D187" t="s" s="666">
        <v>218</v>
      </c>
      <c r="E187" s="663"/>
      <c r="F187" s="663"/>
      <c r="G187" s="663"/>
      <c r="H187" s="663">
        <f>23+H184</f>
      </c>
      <c r="I187" t="s" s="666">
        <v>289</v>
      </c>
      <c r="J187" s="663"/>
      <c r="K187" s="663"/>
      <c r="L187" s="663"/>
      <c r="M187" s="663"/>
      <c r="N187" s="663"/>
      <c r="O187" s="663"/>
      <c r="P187" s="663"/>
      <c r="Q187" s="663"/>
      <c r="R187" s="663"/>
      <c r="S187" s="663"/>
      <c r="T187" s="663"/>
      <c r="U187" s="663"/>
      <c r="V187" s="663"/>
      <c r="W187" s="663"/>
      <c r="X187" s="663"/>
      <c r="Y187" s="663"/>
      <c r="Z187" s="663"/>
      <c r="AA187" s="663"/>
      <c r="AB187" s="663"/>
      <c r="AC187" s="663"/>
      <c r="AD187" s="663"/>
      <c r="AE187" s="663"/>
      <c r="AF187" s="663"/>
      <c r="AG187" s="663"/>
      <c r="AH187" s="663"/>
    </row>
    <row r="188" ht="15" customHeight="1">
      <c r="A188" s="663"/>
      <c r="B188" s="664">
        <v>217</v>
      </c>
      <c r="C188" s="665"/>
      <c r="D188" s="663"/>
      <c r="E188" s="663"/>
      <c r="F188" s="663"/>
      <c r="G188" s="663"/>
      <c r="H188" s="663"/>
      <c r="I188" s="663"/>
      <c r="J188" s="663"/>
      <c r="K188" s="663"/>
      <c r="L188" s="663"/>
      <c r="M188" s="663"/>
      <c r="N188" s="663"/>
      <c r="O188" s="663"/>
      <c r="P188" s="663"/>
      <c r="Q188" s="663"/>
      <c r="R188" s="663"/>
      <c r="S188" s="663"/>
      <c r="T188" s="663"/>
      <c r="U188" s="663"/>
      <c r="V188" s="663"/>
      <c r="W188" s="663"/>
      <c r="X188" s="663"/>
      <c r="Y188" s="663"/>
      <c r="Z188" s="663"/>
      <c r="AA188" s="663"/>
      <c r="AB188" s="663"/>
      <c r="AC188" s="663"/>
      <c r="AD188" s="663"/>
      <c r="AE188" s="663"/>
      <c r="AF188" s="663"/>
      <c r="AG188" s="663"/>
      <c r="AH188" s="663"/>
    </row>
    <row r="189" ht="15" customHeight="1">
      <c r="A189" s="663"/>
      <c r="B189" s="664">
        <v>218</v>
      </c>
      <c r="C189" s="665"/>
      <c r="D189" s="663"/>
      <c r="E189" s="663"/>
      <c r="F189" s="663"/>
      <c r="G189" s="663"/>
      <c r="H189" s="663"/>
      <c r="I189" s="663"/>
      <c r="J189" s="663"/>
      <c r="K189" s="663"/>
      <c r="L189" s="663"/>
      <c r="M189" s="663"/>
      <c r="N189" s="663"/>
      <c r="O189" s="663"/>
      <c r="P189" s="663"/>
      <c r="Q189" s="663"/>
      <c r="R189" s="663"/>
      <c r="S189" s="663"/>
      <c r="T189" s="663"/>
      <c r="U189" s="663"/>
      <c r="V189" s="663"/>
      <c r="W189" s="663"/>
      <c r="X189" s="663"/>
      <c r="Y189" s="663"/>
      <c r="Z189" s="663"/>
      <c r="AA189" s="663"/>
      <c r="AB189" s="663"/>
      <c r="AC189" s="663"/>
      <c r="AD189" s="663"/>
      <c r="AE189" s="663"/>
      <c r="AF189" s="663"/>
      <c r="AG189" s="663"/>
      <c r="AH189" s="663"/>
    </row>
    <row r="190" ht="15" customHeight="1">
      <c r="A190" s="668"/>
      <c r="B190" s="669">
        <v>219</v>
      </c>
      <c r="C190" s="670"/>
      <c r="D190" s="668"/>
      <c r="E190" s="668"/>
      <c r="F190" s="668"/>
      <c r="G190" s="668"/>
      <c r="H190" s="668"/>
      <c r="I190" s="668"/>
      <c r="J190" s="668"/>
      <c r="K190" s="668"/>
      <c r="L190" s="668"/>
      <c r="M190" s="668"/>
      <c r="N190" s="668"/>
      <c r="O190" s="668"/>
      <c r="P190" s="668"/>
      <c r="Q190" s="668"/>
      <c r="R190" s="668"/>
      <c r="S190" s="668"/>
      <c r="T190" s="668"/>
      <c r="U190" s="668"/>
      <c r="V190" s="668"/>
      <c r="W190" s="668"/>
      <c r="X190" s="668"/>
      <c r="Y190" s="668"/>
      <c r="Z190" s="668"/>
      <c r="AA190" s="668"/>
      <c r="AB190" s="668"/>
      <c r="AC190" s="668"/>
      <c r="AD190" s="668"/>
      <c r="AE190" s="668"/>
      <c r="AF190" s="668"/>
      <c r="AG190" s="668"/>
      <c r="AH190" s="668"/>
    </row>
    <row r="191" ht="15" customHeight="1">
      <c r="A191" s="676">
        <f>IF(A198&gt;62.375,-3,-2)</f>
      </c>
      <c r="B191" s="673">
        <v>221</v>
      </c>
      <c r="C191" s="677">
        <f>C192-7</f>
      </c>
      <c r="D191" t="s" s="675">
        <v>209</v>
      </c>
      <c r="E191" t="s" s="675">
        <f>"Inject "&amp;'Planner Worksheet'!L19&amp;" (GnRH) to all females."</f>
        <v>382</v>
      </c>
      <c r="F191" s="676"/>
      <c r="G191" s="676"/>
      <c r="H191" t="s" s="675">
        <f>IF('Planner Worksheet'!G16=22,H192-7,"")</f>
      </c>
      <c r="I191" t="s" s="675">
        <v>397</v>
      </c>
      <c r="J191" t="s" s="675">
        <f>"* Inject "&amp;'Planner Worksheet'!L19&amp;" to all females"</f>
        <v>383</v>
      </c>
      <c r="K191" s="676"/>
      <c r="L191" s="676"/>
      <c r="M191" s="676"/>
      <c r="N191" s="676"/>
      <c r="O191" s="676"/>
      <c r="P191" s="676"/>
      <c r="Q191" s="676"/>
      <c r="R191" s="676"/>
      <c r="S191" s="676"/>
      <c r="T191" s="676"/>
      <c r="U191" s="676"/>
      <c r="V191" s="676"/>
      <c r="W191" s="676"/>
      <c r="X191" s="676"/>
      <c r="Y191" s="676"/>
      <c r="Z191" s="676"/>
      <c r="AA191" s="676"/>
      <c r="AB191" s="676"/>
      <c r="AC191" s="676"/>
      <c r="AD191" s="676"/>
      <c r="AE191" s="676"/>
      <c r="AF191" s="676"/>
      <c r="AG191" s="676"/>
      <c r="AH191" s="676"/>
    </row>
    <row r="192" ht="15" customHeight="1">
      <c r="A192" s="663">
        <f>A193-63/24</f>
      </c>
      <c r="B192" s="664">
        <v>222</v>
      </c>
      <c r="C192" s="678">
        <f>A191</f>
      </c>
      <c r="D192" t="s" s="666">
        <v>212</v>
      </c>
      <c r="E192" t="s" s="666">
        <f>"Inject   "&amp;'Planner Worksheet'!L20&amp;" (PG) to all females at:"</f>
        <v>409</v>
      </c>
      <c r="F192" s="663">
        <f>'Calendar'!D9</f>
      </c>
      <c r="G192" s="663"/>
      <c r="H192" t="s" s="666">
        <f>IF('Planner Worksheet'!G16=22,'Planner Worksheet'!B66,"")</f>
      </c>
      <c r="I192" t="s" s="666">
        <v>398</v>
      </c>
      <c r="J192" t="s" s="666">
        <f>"* inject "&amp;'Planner Worksheet'!L20&amp;"- all females"</f>
        <v>379</v>
      </c>
      <c r="K192" s="663"/>
      <c r="L192" s="663"/>
      <c r="M192" s="663"/>
      <c r="N192" s="663"/>
      <c r="O192" s="663"/>
      <c r="P192" s="663"/>
      <c r="Q192" s="663"/>
      <c r="R192" s="663"/>
      <c r="S192" s="663"/>
      <c r="T192" s="663"/>
      <c r="U192" s="663"/>
      <c r="V192" s="663"/>
      <c r="W192" s="663"/>
      <c r="X192" s="663"/>
      <c r="Y192" s="663"/>
      <c r="Z192" s="663"/>
      <c r="AA192" s="663"/>
      <c r="AB192" s="663"/>
      <c r="AC192" s="663"/>
      <c r="AD192" s="663"/>
      <c r="AE192" s="663"/>
      <c r="AF192" s="663"/>
      <c r="AG192" s="663"/>
      <c r="AH192" s="663"/>
    </row>
    <row r="193" ht="15" customHeight="1">
      <c r="A193" s="663">
        <f>'Planner Worksheet'!G17+'Planner Worksheet'!G18</f>
      </c>
      <c r="B193" s="664">
        <v>223</v>
      </c>
      <c r="C193" s="665">
        <v>0</v>
      </c>
      <c r="D193" t="s" s="666">
        <f>"Inject "&amp;'Planner Worksheet'!L19&amp;" (GnRH) to all females."</f>
        <v>382</v>
      </c>
      <c r="E193" t="s" s="666">
        <v>216</v>
      </c>
      <c r="F193" s="663">
        <f>'Calendar'!D10</f>
      </c>
      <c r="G193" s="663">
        <f>'Calendar'!G10</f>
      </c>
      <c r="H193" t="s" s="666">
        <f>IF('Planner Worksheet'!G16=22,'Planner Worksheet'!G17,"")</f>
      </c>
      <c r="I193" t="s" s="666">
        <f>"** Inject "&amp;'Planner Worksheet'!L19&amp;" &amp; Fixed time AI (60-66 hrs after "&amp;'Planner Worksheet'!L20&amp;" )"</f>
        <v>410</v>
      </c>
      <c r="J193" s="663"/>
      <c r="K193" s="663"/>
      <c r="L193" s="663"/>
      <c r="M193" s="663"/>
      <c r="N193" s="663"/>
      <c r="O193" s="663"/>
      <c r="P193" s="663"/>
      <c r="Q193" s="663"/>
      <c r="R193" s="663"/>
      <c r="S193" s="663"/>
      <c r="T193" s="663"/>
      <c r="U193" s="663"/>
      <c r="V193" s="663"/>
      <c r="W193" s="663"/>
      <c r="X193" s="663"/>
      <c r="Y193" s="663"/>
      <c r="Z193" s="663"/>
      <c r="AA193" s="663"/>
      <c r="AB193" s="663"/>
      <c r="AC193" s="663"/>
      <c r="AD193" s="663"/>
      <c r="AE193" s="663"/>
      <c r="AF193" s="663"/>
      <c r="AG193" s="663"/>
      <c r="AH193" s="663"/>
    </row>
    <row r="194" ht="15" customHeight="1">
      <c r="A194" s="663">
        <f t="shared" si="166"/>
      </c>
      <c r="B194" s="664">
        <v>224</v>
      </c>
      <c r="C194" s="665">
        <f>'Planner Worksheet'!G21</f>
        <v>0</v>
      </c>
      <c r="D194" t="s" s="666">
        <v>217</v>
      </c>
      <c r="E194" t="s" s="666">
        <v>203</v>
      </c>
      <c r="F194" s="663"/>
      <c r="G194" s="663"/>
      <c r="H194" t="s" s="666">
        <f>IF('Planner Worksheet'!$G$16=TRUNC(B196/10),IF(I194="","",'Planner Worksheet'!$G$17+C194),"")</f>
      </c>
      <c r="I194" t="s" s="666">
        <v>283</v>
      </c>
      <c r="J194" s="663"/>
      <c r="K194" s="663"/>
      <c r="L194" s="663"/>
      <c r="M194" s="663"/>
      <c r="N194" s="663"/>
      <c r="O194" s="663"/>
      <c r="P194" s="663"/>
      <c r="Q194" s="663"/>
      <c r="R194" s="663"/>
      <c r="S194" s="663"/>
      <c r="T194" s="663"/>
      <c r="U194" s="663"/>
      <c r="V194" s="663"/>
      <c r="W194" s="663"/>
      <c r="X194" s="663"/>
      <c r="Y194" s="663"/>
      <c r="Z194" s="663"/>
      <c r="AA194" s="663"/>
      <c r="AB194" s="663"/>
      <c r="AC194" s="663"/>
      <c r="AD194" s="663"/>
      <c r="AE194" s="663"/>
      <c r="AF194" s="663"/>
      <c r="AG194" s="663"/>
      <c r="AH194" s="663"/>
    </row>
    <row r="195" ht="15" customHeight="1">
      <c r="A195" s="663">
        <f>A194-A193</f>
      </c>
      <c r="B195" s="664">
        <v>225</v>
      </c>
      <c r="C195" s="665">
        <v>21</v>
      </c>
      <c r="D195" t="s" s="666">
        <v>218</v>
      </c>
      <c r="E195" s="663"/>
      <c r="F195" s="663"/>
      <c r="G195" s="663"/>
      <c r="H195" s="663">
        <f>21+H193</f>
      </c>
      <c r="I195" t="s" s="666">
        <v>289</v>
      </c>
      <c r="J195" s="663"/>
      <c r="K195" s="663"/>
      <c r="L195" s="663"/>
      <c r="M195" s="663"/>
      <c r="N195" s="663"/>
      <c r="O195" s="663"/>
      <c r="P195" s="663"/>
      <c r="Q195" s="663"/>
      <c r="R195" s="663"/>
      <c r="S195" s="663"/>
      <c r="T195" s="663"/>
      <c r="U195" s="663"/>
      <c r="V195" s="663"/>
      <c r="W195" s="663"/>
      <c r="X195" s="663"/>
      <c r="Y195" s="663"/>
      <c r="Z195" s="663"/>
      <c r="AA195" s="663"/>
      <c r="AB195" s="663"/>
      <c r="AC195" s="663"/>
      <c r="AD195" s="663"/>
      <c r="AE195" s="663"/>
      <c r="AF195" s="663"/>
      <c r="AG195" s="663"/>
      <c r="AH195" s="663"/>
    </row>
    <row r="196" ht="15" customHeight="1">
      <c r="A196" s="689"/>
      <c r="B196" s="664">
        <v>226</v>
      </c>
      <c r="C196" s="665"/>
      <c r="D196" s="663"/>
      <c r="E196" s="663"/>
      <c r="F196" s="663"/>
      <c r="G196" s="663"/>
      <c r="H196" s="663"/>
      <c r="I196" s="663"/>
      <c r="J196" s="663"/>
      <c r="K196" s="663"/>
      <c r="L196" s="663"/>
      <c r="M196" s="663"/>
      <c r="N196" s="663"/>
      <c r="O196" s="663"/>
      <c r="P196" s="663"/>
      <c r="Q196" s="663"/>
      <c r="R196" s="663"/>
      <c r="S196" s="663"/>
      <c r="T196" s="663"/>
      <c r="U196" s="663"/>
      <c r="V196" s="663"/>
      <c r="W196" s="663"/>
      <c r="X196" s="663"/>
      <c r="Y196" s="663"/>
      <c r="Z196" s="663"/>
      <c r="AA196" s="663"/>
      <c r="AB196" s="663"/>
      <c r="AC196" s="663"/>
      <c r="AD196" s="663"/>
      <c r="AE196" s="663"/>
      <c r="AF196" s="663"/>
      <c r="AG196" s="663"/>
      <c r="AH196" s="663"/>
    </row>
    <row r="197" ht="15" customHeight="1">
      <c r="A197" s="690"/>
      <c r="B197" s="664">
        <v>227</v>
      </c>
      <c r="C197" s="665"/>
      <c r="D197" s="663"/>
      <c r="E197" s="663"/>
      <c r="F197" s="663"/>
      <c r="G197" s="663"/>
      <c r="H197" s="663"/>
      <c r="I197" s="663"/>
      <c r="J197" s="663"/>
      <c r="K197" s="663"/>
      <c r="L197" s="663"/>
      <c r="M197" s="663"/>
      <c r="N197" s="663"/>
      <c r="O197" s="663"/>
      <c r="P197" s="663"/>
      <c r="Q197" s="663"/>
      <c r="R197" s="663"/>
      <c r="S197" s="663"/>
      <c r="T197" s="663"/>
      <c r="U197" s="663"/>
      <c r="V197" s="663"/>
      <c r="W197" s="663"/>
      <c r="X197" s="663"/>
      <c r="Y197" s="663"/>
      <c r="Z197" s="663"/>
      <c r="AA197" s="663"/>
      <c r="AB197" s="663"/>
      <c r="AC197" s="663"/>
      <c r="AD197" s="663"/>
      <c r="AE197" s="663"/>
      <c r="AF197" s="663"/>
      <c r="AG197" s="663"/>
      <c r="AH197" s="663"/>
    </row>
    <row r="198" ht="15" customHeight="1">
      <c r="A198" s="663">
        <f>63-'Planner Worksheet'!H18</f>
      </c>
      <c r="B198" s="664">
        <v>228</v>
      </c>
      <c r="C198" s="665"/>
      <c r="D198" s="663"/>
      <c r="E198" s="663"/>
      <c r="F198" s="663"/>
      <c r="G198" s="663"/>
      <c r="H198" s="663"/>
      <c r="I198" s="663"/>
      <c r="J198" s="663"/>
      <c r="K198" s="663"/>
      <c r="L198" s="663"/>
      <c r="M198" s="663"/>
      <c r="N198" s="663"/>
      <c r="O198" s="663"/>
      <c r="P198" s="663"/>
      <c r="Q198" s="663"/>
      <c r="R198" s="663"/>
      <c r="S198" s="663"/>
      <c r="T198" s="663"/>
      <c r="U198" s="663"/>
      <c r="V198" s="663"/>
      <c r="W198" s="663"/>
      <c r="X198" s="663"/>
      <c r="Y198" s="663"/>
      <c r="Z198" s="663"/>
      <c r="AA198" s="663"/>
      <c r="AB198" s="663"/>
      <c r="AC198" s="663"/>
      <c r="AD198" s="663"/>
      <c r="AE198" s="663"/>
      <c r="AF198" s="663"/>
      <c r="AG198" s="663"/>
      <c r="AH198" s="663"/>
    </row>
    <row r="199" ht="15" customHeight="1">
      <c r="A199" s="668"/>
      <c r="B199" s="669">
        <v>229</v>
      </c>
      <c r="C199" s="670"/>
      <c r="D199" s="668"/>
      <c r="E199" s="668"/>
      <c r="F199" s="668"/>
      <c r="G199" s="668"/>
      <c r="H199" s="668"/>
      <c r="I199" s="668"/>
      <c r="J199" s="668"/>
      <c r="K199" s="668"/>
      <c r="L199" s="668"/>
      <c r="M199" s="668"/>
      <c r="N199" s="668"/>
      <c r="O199" s="668"/>
      <c r="P199" s="668"/>
      <c r="Q199" s="668"/>
      <c r="R199" s="668"/>
      <c r="S199" s="668"/>
      <c r="T199" s="668"/>
      <c r="U199" s="668"/>
      <c r="V199" s="668"/>
      <c r="W199" s="668"/>
      <c r="X199" s="668"/>
      <c r="Y199" s="668"/>
      <c r="Z199" s="668"/>
      <c r="AA199" s="668"/>
      <c r="AB199" s="668"/>
      <c r="AC199" s="668"/>
      <c r="AD199" s="668"/>
      <c r="AE199" s="668"/>
      <c r="AF199" s="668"/>
      <c r="AG199" s="668"/>
      <c r="AH199" s="668"/>
    </row>
    <row r="200" ht="15" customHeight="1">
      <c r="A200" s="676">
        <f>IF(A207&gt;53.75,-3,-2)</f>
      </c>
      <c r="B200" s="673">
        <v>231</v>
      </c>
      <c r="C200" s="677">
        <f>C201-7</f>
      </c>
      <c r="D200" t="s" s="675">
        <v>209</v>
      </c>
      <c r="E200" t="s" s="675">
        <f>"Inject "&amp;'Planner Worksheet'!L19&amp;" (GnRH) to all females."</f>
        <v>382</v>
      </c>
      <c r="F200" s="676"/>
      <c r="G200" s="676"/>
      <c r="H200" t="s" s="675">
        <f>IF('Planner Worksheet'!G16=23,H201-7,"")</f>
      </c>
      <c r="I200" t="s" s="675">
        <v>397</v>
      </c>
      <c r="J200" t="s" s="675">
        <f>"* Inject "&amp;'Planner Worksheet'!L19&amp;" to all females"</f>
        <v>383</v>
      </c>
      <c r="K200" s="676"/>
      <c r="L200" s="676"/>
      <c r="M200" s="676"/>
      <c r="N200" s="676"/>
      <c r="O200" s="676"/>
      <c r="P200" s="676"/>
      <c r="Q200" s="676"/>
      <c r="R200" s="676"/>
      <c r="S200" s="676"/>
      <c r="T200" s="676"/>
      <c r="U200" s="676"/>
      <c r="V200" s="676"/>
      <c r="W200" s="676"/>
      <c r="X200" s="676"/>
      <c r="Y200" s="676"/>
      <c r="Z200" s="676"/>
      <c r="AA200" s="676"/>
      <c r="AB200" s="676"/>
      <c r="AC200" s="676"/>
      <c r="AD200" s="676"/>
      <c r="AE200" s="676"/>
      <c r="AF200" s="676"/>
      <c r="AG200" s="676"/>
      <c r="AH200" s="676"/>
    </row>
    <row r="201" ht="15" customHeight="1">
      <c r="A201" s="663">
        <f>A202-54/24</f>
      </c>
      <c r="B201" s="664">
        <v>232</v>
      </c>
      <c r="C201" s="678">
        <f>A200</f>
      </c>
      <c r="D201" t="s" s="666">
        <v>212</v>
      </c>
      <c r="E201" t="s" s="666">
        <f>"Inject   "&amp;'Planner Worksheet'!L20&amp;" (PG) to all females at:"</f>
        <v>409</v>
      </c>
      <c r="F201" s="663">
        <f>'Calendar'!D9</f>
      </c>
      <c r="G201" s="663"/>
      <c r="H201" t="s" s="666">
        <f>IF('Planner Worksheet'!G16=23,'Planner Worksheet'!B66,"")</f>
      </c>
      <c r="I201" t="s" s="666">
        <v>398</v>
      </c>
      <c r="J201" t="s" s="666">
        <f>"* inject "&amp;'Planner Worksheet'!L20&amp;"- all females"</f>
        <v>379</v>
      </c>
      <c r="K201" s="663"/>
      <c r="L201" s="663"/>
      <c r="M201" s="663"/>
      <c r="N201" s="663"/>
      <c r="O201" s="663"/>
      <c r="P201" s="663"/>
      <c r="Q201" s="663"/>
      <c r="R201" s="663"/>
      <c r="S201" s="663"/>
      <c r="T201" s="663"/>
      <c r="U201" s="663"/>
      <c r="V201" s="663"/>
      <c r="W201" s="663"/>
      <c r="X201" s="663"/>
      <c r="Y201" s="663"/>
      <c r="Z201" s="663"/>
      <c r="AA201" s="663"/>
      <c r="AB201" s="663"/>
      <c r="AC201" s="663"/>
      <c r="AD201" s="663"/>
      <c r="AE201" s="663"/>
      <c r="AF201" s="663"/>
      <c r="AG201" s="663"/>
      <c r="AH201" s="663"/>
    </row>
    <row r="202" ht="15" customHeight="1">
      <c r="A202" s="663">
        <f>'Planner Worksheet'!G17+'Planner Worksheet'!$G$18</f>
      </c>
      <c r="B202" s="664">
        <v>233</v>
      </c>
      <c r="C202" s="665">
        <v>0</v>
      </c>
      <c r="D202" t="s" s="666">
        <f>"Inject "&amp;'Planner Worksheet'!L19&amp;" (GnRH) to all females."</f>
        <v>382</v>
      </c>
      <c r="E202" t="s" s="666">
        <v>216</v>
      </c>
      <c r="F202" s="663">
        <f>'Calendar'!D10</f>
      </c>
      <c r="G202" s="663">
        <f>'Calendar'!G10</f>
      </c>
      <c r="H202" t="s" s="666">
        <f>IF('Planner Worksheet'!G16=23,'Planner Worksheet'!G17,"")</f>
      </c>
      <c r="I202" t="s" s="666">
        <f>"** Inject "&amp;'Planner Worksheet'!L19&amp;" &amp; Fixed Time AI (54 hrs after "&amp;'Planner Worksheet'!L20&amp;" )"</f>
        <v>411</v>
      </c>
      <c r="J202" s="663"/>
      <c r="K202" s="663"/>
      <c r="L202" s="663"/>
      <c r="M202" s="663"/>
      <c r="N202" s="663"/>
      <c r="O202" s="663"/>
      <c r="P202" s="663"/>
      <c r="Q202" s="663"/>
      <c r="R202" s="663"/>
      <c r="S202" s="663"/>
      <c r="T202" s="663"/>
      <c r="U202" s="663"/>
      <c r="V202" s="663"/>
      <c r="W202" s="663"/>
      <c r="X202" s="663"/>
      <c r="Y202" s="663"/>
      <c r="Z202" s="663"/>
      <c r="AA202" s="663"/>
      <c r="AB202" s="663"/>
      <c r="AC202" s="663"/>
      <c r="AD202" s="663"/>
      <c r="AE202" s="663"/>
      <c r="AF202" s="663"/>
      <c r="AG202" s="663"/>
      <c r="AH202" s="663"/>
    </row>
    <row r="203" ht="15" customHeight="1">
      <c r="A203" s="663">
        <f t="shared" si="166"/>
      </c>
      <c r="B203" s="664">
        <v>234</v>
      </c>
      <c r="C203" s="665">
        <f>'Planner Worksheet'!G21</f>
        <v>0</v>
      </c>
      <c r="D203" t="s" s="666">
        <v>217</v>
      </c>
      <c r="E203" t="s" s="666">
        <v>203</v>
      </c>
      <c r="F203" s="663"/>
      <c r="G203" s="663"/>
      <c r="H203" t="s" s="666">
        <f>IF('Planner Worksheet'!$G$16=TRUNC(B205/10),IF(I203="","",'Planner Worksheet'!$G$17+C203),"")</f>
      </c>
      <c r="I203" t="s" s="666">
        <v>283</v>
      </c>
      <c r="J203" s="663"/>
      <c r="K203" s="663"/>
      <c r="L203" s="663"/>
      <c r="M203" s="663"/>
      <c r="N203" s="663"/>
      <c r="O203" s="663"/>
      <c r="P203" s="663"/>
      <c r="Q203" s="663"/>
      <c r="R203" s="663"/>
      <c r="S203" s="663"/>
      <c r="T203" s="663"/>
      <c r="U203" s="663"/>
      <c r="V203" s="663"/>
      <c r="W203" s="663"/>
      <c r="X203" s="663"/>
      <c r="Y203" s="663"/>
      <c r="Z203" s="663"/>
      <c r="AA203" s="663"/>
      <c r="AB203" s="663"/>
      <c r="AC203" s="663"/>
      <c r="AD203" s="663"/>
      <c r="AE203" s="663"/>
      <c r="AF203" s="663"/>
      <c r="AG203" s="663"/>
      <c r="AH203" s="663"/>
    </row>
    <row r="204" ht="15" customHeight="1">
      <c r="A204" s="663">
        <f>A203-A202</f>
      </c>
      <c r="B204" s="664">
        <v>235</v>
      </c>
      <c r="C204" s="665">
        <v>21</v>
      </c>
      <c r="D204" t="s" s="666">
        <v>218</v>
      </c>
      <c r="E204" s="663"/>
      <c r="F204" s="663"/>
      <c r="G204" s="663"/>
      <c r="H204" s="663">
        <f>21+H202</f>
      </c>
      <c r="I204" t="s" s="666">
        <v>289</v>
      </c>
      <c r="J204" s="663"/>
      <c r="K204" s="663"/>
      <c r="L204" s="663"/>
      <c r="M204" s="663"/>
      <c r="N204" s="663"/>
      <c r="O204" s="663"/>
      <c r="P204" s="663"/>
      <c r="Q204" s="663"/>
      <c r="R204" s="663"/>
      <c r="S204" s="663"/>
      <c r="T204" s="663"/>
      <c r="U204" s="663"/>
      <c r="V204" s="663"/>
      <c r="W204" s="663"/>
      <c r="X204" s="663"/>
      <c r="Y204" s="663"/>
      <c r="Z204" s="663"/>
      <c r="AA204" s="663"/>
      <c r="AB204" s="663"/>
      <c r="AC204" s="663"/>
      <c r="AD204" s="663"/>
      <c r="AE204" s="663"/>
      <c r="AF204" s="663"/>
      <c r="AG204" s="663"/>
      <c r="AH204" s="663"/>
    </row>
    <row r="205" ht="15" customHeight="1">
      <c r="A205" s="667"/>
      <c r="B205" s="664">
        <v>236</v>
      </c>
      <c r="C205" s="665"/>
      <c r="D205" s="663"/>
      <c r="E205" s="663"/>
      <c r="F205" s="663"/>
      <c r="G205" s="663"/>
      <c r="H205" s="663"/>
      <c r="I205" s="663"/>
      <c r="J205" s="663"/>
      <c r="K205" s="663"/>
      <c r="L205" s="663"/>
      <c r="M205" s="663"/>
      <c r="N205" s="663"/>
      <c r="O205" s="663"/>
      <c r="P205" s="663"/>
      <c r="Q205" s="663"/>
      <c r="R205" s="663"/>
      <c r="S205" s="663"/>
      <c r="T205" s="663"/>
      <c r="U205" s="663"/>
      <c r="V205" s="663"/>
      <c r="W205" s="663"/>
      <c r="X205" s="663"/>
      <c r="Y205" s="663"/>
      <c r="Z205" s="663"/>
      <c r="AA205" s="663"/>
      <c r="AB205" s="663"/>
      <c r="AC205" s="663"/>
      <c r="AD205" s="663"/>
      <c r="AE205" s="663"/>
      <c r="AF205" s="663"/>
      <c r="AG205" s="663"/>
      <c r="AH205" s="663"/>
    </row>
    <row r="206" ht="15" customHeight="1">
      <c r="A206" s="663"/>
      <c r="B206" s="664">
        <v>237</v>
      </c>
      <c r="C206" s="665"/>
      <c r="D206" s="663"/>
      <c r="E206" s="663"/>
      <c r="F206" s="663"/>
      <c r="G206" s="663"/>
      <c r="H206" s="663"/>
      <c r="I206" s="663"/>
      <c r="J206" s="663"/>
      <c r="K206" s="663"/>
      <c r="L206" s="663"/>
      <c r="M206" s="663"/>
      <c r="N206" s="663"/>
      <c r="O206" s="663"/>
      <c r="P206" s="663"/>
      <c r="Q206" s="663"/>
      <c r="R206" s="663"/>
      <c r="S206" s="663"/>
      <c r="T206" s="663"/>
      <c r="U206" s="663"/>
      <c r="V206" s="663"/>
      <c r="W206" s="663"/>
      <c r="X206" s="663"/>
      <c r="Y206" s="663"/>
      <c r="Z206" s="663"/>
      <c r="AA206" s="663"/>
      <c r="AB206" s="663"/>
      <c r="AC206" s="663"/>
      <c r="AD206" s="663"/>
      <c r="AE206" s="663"/>
      <c r="AF206" s="663"/>
      <c r="AG206" s="663"/>
      <c r="AH206" s="663"/>
    </row>
    <row r="207" ht="15" customHeight="1">
      <c r="A207" s="663">
        <f>54-'Planner Worksheet'!H18</f>
      </c>
      <c r="B207" s="664">
        <v>238</v>
      </c>
      <c r="C207" s="665"/>
      <c r="D207" s="663"/>
      <c r="E207" s="663"/>
      <c r="F207" s="663"/>
      <c r="G207" s="663"/>
      <c r="H207" s="663"/>
      <c r="I207" s="663"/>
      <c r="J207" s="663"/>
      <c r="K207" s="663"/>
      <c r="L207" s="663"/>
      <c r="M207" s="663"/>
      <c r="N207" s="663"/>
      <c r="O207" s="663"/>
      <c r="P207" s="663"/>
      <c r="Q207" s="663"/>
      <c r="R207" s="663"/>
      <c r="S207" s="663"/>
      <c r="T207" s="663"/>
      <c r="U207" s="663"/>
      <c r="V207" s="663"/>
      <c r="W207" s="663"/>
      <c r="X207" s="663"/>
      <c r="Y207" s="663"/>
      <c r="Z207" s="663"/>
      <c r="AA207" s="663"/>
      <c r="AB207" s="663"/>
      <c r="AC207" s="663"/>
      <c r="AD207" s="663"/>
      <c r="AE207" s="663"/>
      <c r="AF207" s="663"/>
      <c r="AG207" s="663"/>
      <c r="AH207" s="663"/>
    </row>
    <row r="208" ht="15" customHeight="1">
      <c r="A208" s="668"/>
      <c r="B208" s="669">
        <v>239</v>
      </c>
      <c r="C208" s="670"/>
      <c r="D208" s="668"/>
      <c r="E208" s="668"/>
      <c r="F208" s="668"/>
      <c r="G208" s="668"/>
      <c r="H208" s="668"/>
      <c r="I208" s="668"/>
      <c r="J208" s="668"/>
      <c r="K208" s="668"/>
      <c r="L208" s="668"/>
      <c r="M208" s="668"/>
      <c r="N208" s="668"/>
      <c r="O208" s="668"/>
      <c r="P208" s="668"/>
      <c r="Q208" s="668"/>
      <c r="R208" s="668"/>
      <c r="S208" s="668"/>
      <c r="T208" s="668"/>
      <c r="U208" s="668"/>
      <c r="V208" s="668"/>
      <c r="W208" s="668"/>
      <c r="X208" s="668"/>
      <c r="Y208" s="668"/>
      <c r="Z208" s="668"/>
      <c r="AA208" s="668"/>
      <c r="AB208" s="668"/>
      <c r="AC208" s="668"/>
      <c r="AD208" s="668"/>
      <c r="AE208" s="668"/>
      <c r="AF208" s="668"/>
      <c r="AG208" s="668"/>
      <c r="AH208" s="668"/>
    </row>
    <row r="209" ht="15" customHeight="1">
      <c r="A209" s="676"/>
      <c r="B209" s="673">
        <v>241</v>
      </c>
      <c r="C209" s="674">
        <v>-7</v>
      </c>
      <c r="D209" t="s" s="675">
        <v>209</v>
      </c>
      <c r="E209" t="s" s="675">
        <f>"Inject "&amp;'Planner Worksheet'!L19&amp;" (GnRH) to all females."</f>
        <v>382</v>
      </c>
      <c r="F209" s="676"/>
      <c r="G209" s="676"/>
      <c r="H209" t="s" s="675">
        <f>IF('Planner Worksheet'!$G$16=TRUNC(B209/10),IF(I209="","",'Planner Worksheet'!$G$17+C209),"")</f>
      </c>
      <c r="I209" t="s" s="675">
        <v>397</v>
      </c>
      <c r="J209" t="s" s="675">
        <f>"* Inject "&amp;'Planner Worksheet'!L19&amp;" - all females"</f>
        <v>412</v>
      </c>
      <c r="K209" s="676"/>
      <c r="L209" s="676"/>
      <c r="M209" s="676"/>
      <c r="N209" s="676"/>
      <c r="O209" s="676"/>
      <c r="P209" s="676"/>
      <c r="Q209" s="676"/>
      <c r="R209" s="676"/>
      <c r="S209" s="676"/>
      <c r="T209" s="676"/>
      <c r="U209" s="676"/>
      <c r="V209" s="676"/>
      <c r="W209" s="676"/>
      <c r="X209" s="676"/>
      <c r="Y209" s="676"/>
      <c r="Z209" s="676"/>
      <c r="AA209" s="676"/>
      <c r="AB209" s="676"/>
      <c r="AC209" s="676"/>
      <c r="AD209" s="676"/>
      <c r="AE209" s="676"/>
      <c r="AF209" s="676"/>
      <c r="AG209" s="676"/>
      <c r="AH209" s="676"/>
    </row>
    <row r="210" ht="15" customHeight="1">
      <c r="A210" s="663"/>
      <c r="B210" s="664">
        <v>242</v>
      </c>
      <c r="C210" s="665">
        <v>0</v>
      </c>
      <c r="D210" t="s" s="666">
        <v>212</v>
      </c>
      <c r="E210" t="s" s="666">
        <f>"Inject "&amp;'Planner Worksheet'!L20&amp;" (PG) to all females."</f>
        <v>334</v>
      </c>
      <c r="F210" s="683">
        <f>'Planner Worksheet'!G18</f>
        <v>0.4166666666666666</v>
      </c>
      <c r="G210" t="s" s="666">
        <v>257</v>
      </c>
      <c r="H210" t="s" s="666">
        <f>IF('Planner Worksheet'!$G$16=TRUNC(B210/10),IF(I212="","",'Planner Worksheet'!$G$17+C210),"")</f>
      </c>
      <c r="I210" t="s" s="666">
        <v>398</v>
      </c>
      <c r="J210" t="s" s="666">
        <f>"* inject "&amp;'Planner Worksheet'!L20&amp;"- all females"</f>
        <v>379</v>
      </c>
      <c r="K210" s="663"/>
      <c r="L210" s="663"/>
      <c r="M210" s="663"/>
      <c r="N210" s="663"/>
      <c r="O210" s="663"/>
      <c r="P210" s="663"/>
      <c r="Q210" s="663"/>
      <c r="R210" s="663"/>
      <c r="S210" s="663"/>
      <c r="T210" s="663"/>
      <c r="U210" s="663"/>
      <c r="V210" s="663"/>
      <c r="W210" s="663"/>
      <c r="X210" s="663"/>
      <c r="Y210" s="663"/>
      <c r="Z210" s="663"/>
      <c r="AA210" s="663"/>
      <c r="AB210" s="663"/>
      <c r="AC210" s="663"/>
      <c r="AD210" s="663"/>
      <c r="AE210" s="663"/>
      <c r="AF210" s="663"/>
      <c r="AG210" s="663"/>
      <c r="AH210" s="663"/>
    </row>
    <row r="211" ht="15" customHeight="1">
      <c r="A211" s="663"/>
      <c r="B211" s="664">
        <v>243</v>
      </c>
      <c r="C211" s="665">
        <v>1</v>
      </c>
      <c r="D211" t="s" s="666">
        <v>272</v>
      </c>
      <c r="E211" t="s" s="666">
        <v>258</v>
      </c>
      <c r="F211" s="663"/>
      <c r="G211" s="663"/>
      <c r="H211" s="663"/>
      <c r="I211" s="663"/>
      <c r="J211" s="663"/>
      <c r="K211" s="663"/>
      <c r="L211" s="663"/>
      <c r="M211" s="663"/>
      <c r="N211" s="663"/>
      <c r="O211" s="663"/>
      <c r="P211" s="663"/>
      <c r="Q211" s="663"/>
      <c r="R211" s="663"/>
      <c r="S211" s="663"/>
      <c r="T211" s="663"/>
      <c r="U211" s="663"/>
      <c r="V211" s="663"/>
      <c r="W211" s="663"/>
      <c r="X211" s="663"/>
      <c r="Y211" s="663"/>
      <c r="Z211" s="663"/>
      <c r="AA211" s="663"/>
      <c r="AB211" s="663"/>
      <c r="AC211" s="663"/>
      <c r="AD211" s="663"/>
      <c r="AE211" s="663"/>
      <c r="AF211" s="663"/>
      <c r="AG211" s="663"/>
      <c r="AH211" s="663"/>
    </row>
    <row r="212" ht="15" customHeight="1">
      <c r="A212" s="663"/>
      <c r="B212" s="664">
        <v>244</v>
      </c>
      <c r="C212" s="665">
        <v>2</v>
      </c>
      <c r="D212" t="s" s="666">
        <v>272</v>
      </c>
      <c r="E212" t="s" s="666">
        <v>356</v>
      </c>
      <c r="F212" t="s" s="666">
        <v>258</v>
      </c>
      <c r="G212" s="663"/>
      <c r="H212" t="s" s="666">
        <f>IF('Planner Worksheet'!$G$16=TRUNC(B212/10),IF(I214="","",'Planner Worksheet'!$G$17+C212),"")</f>
      </c>
      <c r="I212" t="s" s="666">
        <v>357</v>
      </c>
      <c r="J212" s="663"/>
      <c r="K212" s="663"/>
      <c r="L212" s="663"/>
      <c r="M212" s="663"/>
      <c r="N212" s="663"/>
      <c r="O212" s="663"/>
      <c r="P212" s="663"/>
      <c r="Q212" s="663"/>
      <c r="R212" s="663"/>
      <c r="S212" s="663"/>
      <c r="T212" s="663"/>
      <c r="U212" s="663"/>
      <c r="V212" s="663"/>
      <c r="W212" s="663"/>
      <c r="X212" s="663"/>
      <c r="Y212" s="663"/>
      <c r="Z212" s="663"/>
      <c r="AA212" s="663"/>
      <c r="AB212" s="663"/>
      <c r="AC212" s="663"/>
      <c r="AD212" s="663"/>
      <c r="AE212" s="663"/>
      <c r="AF212" s="663"/>
      <c r="AG212" s="663"/>
      <c r="AH212" s="663"/>
    </row>
    <row r="213" ht="15" customHeight="1">
      <c r="A213" s="663"/>
      <c r="B213" s="664">
        <v>245</v>
      </c>
      <c r="C213" s="665">
        <f t="shared" si="90"/>
        <v>3</v>
      </c>
      <c r="D213" t="s" s="666">
        <v>276</v>
      </c>
      <c r="E213" t="s" s="666">
        <f>"For females not detected in heat, inject "&amp;'Planner Worksheet'!L19&amp;" (GnRH) &amp; inseminate between the hours:"</f>
        <v>387</v>
      </c>
      <c r="F213" s="663">
        <f>H213+'Planner Worksheet'!G18</f>
      </c>
      <c r="G213" s="663">
        <f>F213+TIME(12,0,0)</f>
      </c>
      <c r="H213" t="s" s="666">
        <f>IF('Planner Worksheet'!$G$16=TRUNC(B211/10),IF(I213="","",'Planner Worksheet'!$G$17+C213),"")</f>
      </c>
      <c r="I213" t="s" s="666">
        <f>"** Inject "&amp;'Planner Worksheet'!L19&amp;" &amp; Clean-up AI (72-84 hrs after "&amp;'Planner Worksheet'!L20&amp;" )"</f>
        <v>388</v>
      </c>
      <c r="J213" s="663"/>
      <c r="K213" s="663"/>
      <c r="L213" s="663"/>
      <c r="M213" s="663"/>
      <c r="N213" s="663"/>
      <c r="O213" s="663"/>
      <c r="P213" s="663"/>
      <c r="Q213" s="663"/>
      <c r="R213" s="663"/>
      <c r="S213" s="663"/>
      <c r="T213" s="663"/>
      <c r="U213" s="663"/>
      <c r="V213" s="663"/>
      <c r="W213" s="663"/>
      <c r="X213" s="663"/>
      <c r="Y213" s="663"/>
      <c r="Z213" s="663"/>
      <c r="AA213" s="663"/>
      <c r="AB213" s="663"/>
      <c r="AC213" s="663"/>
      <c r="AD213" s="663"/>
      <c r="AE213" s="663"/>
      <c r="AF213" s="663"/>
      <c r="AG213" s="663"/>
      <c r="AH213" s="663"/>
    </row>
    <row r="214" ht="15" customHeight="1">
      <c r="A214" s="663"/>
      <c r="B214" s="664">
        <v>246</v>
      </c>
      <c r="C214" s="665">
        <f>'Planner Worksheet'!G21+C213</f>
        <v>3</v>
      </c>
      <c r="D214" t="s" s="666">
        <v>217</v>
      </c>
      <c r="E214" t="s" s="666">
        <v>203</v>
      </c>
      <c r="F214" s="663"/>
      <c r="G214" s="663"/>
      <c r="H214" t="s" s="666">
        <f>IF('Planner Worksheet'!$G$16=TRUNC(B212/10),IF(I214="","",'Planner Worksheet'!$G$17+C214),"")</f>
      </c>
      <c r="I214" t="s" s="666">
        <v>283</v>
      </c>
      <c r="J214" s="663"/>
      <c r="K214" s="663"/>
      <c r="L214" s="663"/>
      <c r="M214" s="663"/>
      <c r="N214" s="663"/>
      <c r="O214" s="663"/>
      <c r="P214" s="663"/>
      <c r="Q214" s="663"/>
      <c r="R214" s="663"/>
      <c r="S214" s="663"/>
      <c r="T214" s="663"/>
      <c r="U214" s="663"/>
      <c r="V214" s="663"/>
      <c r="W214" s="663"/>
      <c r="X214" s="663"/>
      <c r="Y214" s="663"/>
      <c r="Z214" s="663"/>
      <c r="AA214" s="663"/>
      <c r="AB214" s="663"/>
      <c r="AC214" s="663"/>
      <c r="AD214" s="663"/>
      <c r="AE214" s="663"/>
      <c r="AF214" s="663"/>
      <c r="AG214" s="663"/>
      <c r="AH214" s="663"/>
    </row>
    <row r="215" ht="15" customHeight="1">
      <c r="A215" s="663"/>
      <c r="B215" s="664">
        <v>247</v>
      </c>
      <c r="C215" s="665">
        <v>23</v>
      </c>
      <c r="D215" t="s" s="666">
        <v>218</v>
      </c>
      <c r="E215" s="663"/>
      <c r="F215" s="663"/>
      <c r="G215" s="663"/>
      <c r="H215" s="663">
        <f>23+H210</f>
      </c>
      <c r="I215" t="s" s="666">
        <v>289</v>
      </c>
      <c r="J215" s="663"/>
      <c r="K215" s="663"/>
      <c r="L215" s="663"/>
      <c r="M215" s="663"/>
      <c r="N215" s="663"/>
      <c r="O215" s="663"/>
      <c r="P215" s="663"/>
      <c r="Q215" s="663"/>
      <c r="R215" s="663"/>
      <c r="S215" s="663"/>
      <c r="T215" s="663"/>
      <c r="U215" s="663"/>
      <c r="V215" s="663"/>
      <c r="W215" s="663"/>
      <c r="X215" s="663"/>
      <c r="Y215" s="663"/>
      <c r="Z215" s="663"/>
      <c r="AA215" s="663"/>
      <c r="AB215" s="663"/>
      <c r="AC215" s="663"/>
      <c r="AD215" s="663"/>
      <c r="AE215" s="663"/>
      <c r="AF215" s="663"/>
      <c r="AG215" s="663"/>
      <c r="AH215" s="663"/>
    </row>
    <row r="216" ht="15" customHeight="1">
      <c r="A216" s="663"/>
      <c r="B216" s="664">
        <v>248</v>
      </c>
      <c r="C216" s="665"/>
      <c r="D216" s="663"/>
      <c r="E216" s="663"/>
      <c r="F216" s="663"/>
      <c r="G216" s="663"/>
      <c r="H216" s="663"/>
      <c r="I216" s="663"/>
      <c r="J216" s="663"/>
      <c r="K216" s="663"/>
      <c r="L216" s="663"/>
      <c r="M216" s="663"/>
      <c r="N216" s="663"/>
      <c r="O216" s="663"/>
      <c r="P216" s="663"/>
      <c r="Q216" s="663"/>
      <c r="R216" s="663"/>
      <c r="S216" s="663"/>
      <c r="T216" s="663"/>
      <c r="U216" s="663"/>
      <c r="V216" s="663"/>
      <c r="W216" s="663"/>
      <c r="X216" s="663"/>
      <c r="Y216" s="663"/>
      <c r="Z216" s="663"/>
      <c r="AA216" s="663"/>
      <c r="AB216" s="663"/>
      <c r="AC216" s="663"/>
      <c r="AD216" s="663"/>
      <c r="AE216" s="663"/>
      <c r="AF216" s="663"/>
      <c r="AG216" s="663"/>
      <c r="AH216" s="663"/>
    </row>
    <row r="217" ht="15" customHeight="1">
      <c r="A217" s="668"/>
      <c r="B217" s="669">
        <v>249</v>
      </c>
      <c r="C217" s="670"/>
      <c r="D217" s="668"/>
      <c r="E217" s="668"/>
      <c r="F217" s="668"/>
      <c r="G217" s="668"/>
      <c r="H217" s="668"/>
      <c r="I217" s="668"/>
      <c r="J217" s="668"/>
      <c r="K217" s="668"/>
      <c r="L217" s="668"/>
      <c r="M217" s="668"/>
      <c r="N217" s="668"/>
      <c r="O217" s="668"/>
      <c r="P217" s="668"/>
      <c r="Q217" s="668"/>
      <c r="R217" s="668"/>
      <c r="S217" s="668"/>
      <c r="T217" s="668"/>
      <c r="U217" s="668"/>
      <c r="V217" s="668"/>
      <c r="W217" s="668"/>
      <c r="X217" s="668"/>
      <c r="Y217" s="668"/>
      <c r="Z217" s="668"/>
      <c r="AA217" s="668"/>
      <c r="AB217" s="668"/>
      <c r="AC217" s="668"/>
      <c r="AD217" s="668"/>
      <c r="AE217" s="668"/>
      <c r="AF217" s="668"/>
      <c r="AG217" s="668"/>
      <c r="AH217" s="668"/>
    </row>
    <row r="218" ht="15" customHeight="1">
      <c r="A218" s="676"/>
      <c r="B218" s="673">
        <v>251</v>
      </c>
      <c r="C218" s="674">
        <v>-7</v>
      </c>
      <c r="D218" t="s" s="675">
        <v>209</v>
      </c>
      <c r="E218" s="676"/>
      <c r="F218" s="676"/>
      <c r="G218" s="676"/>
      <c r="H218" t="s" s="675">
        <f>IF('Planner Worksheet'!$G$16=TRUNC(B218/10),IF(I218="","",'Planner Worksheet'!$G$17+C218),"")</f>
      </c>
      <c r="I218" t="s" s="675">
        <v>397</v>
      </c>
      <c r="J218" s="676"/>
      <c r="K218" s="676"/>
      <c r="L218" s="676"/>
      <c r="M218" s="676"/>
      <c r="N218" s="676"/>
      <c r="O218" s="676"/>
      <c r="P218" s="676"/>
      <c r="Q218" s="676"/>
      <c r="R218" s="676"/>
      <c r="S218" s="676"/>
      <c r="T218" s="676"/>
      <c r="U218" s="676"/>
      <c r="V218" s="676"/>
      <c r="W218" s="676"/>
      <c r="X218" s="676"/>
      <c r="Y218" s="676"/>
      <c r="Z218" s="676"/>
      <c r="AA218" s="676"/>
      <c r="AB218" s="676"/>
      <c r="AC218" s="676"/>
      <c r="AD218" s="676"/>
      <c r="AE218" s="676"/>
      <c r="AF218" s="676"/>
      <c r="AG218" s="676"/>
      <c r="AH218" s="676"/>
    </row>
    <row r="219" ht="15" customHeight="1">
      <c r="A219" s="663"/>
      <c r="B219" s="664">
        <v>252</v>
      </c>
      <c r="C219" s="665">
        <v>0</v>
      </c>
      <c r="D219" t="s" s="666">
        <v>212</v>
      </c>
      <c r="E219" t="s" s="666">
        <f>"Inject "&amp;'Planner Worksheet'!L20&amp;" (PG) to all females at: "</f>
        <v>386</v>
      </c>
      <c r="F219" s="683">
        <f>'Planner Worksheet'!G18</f>
        <v>0.4166666666666666</v>
      </c>
      <c r="G219" t="s" s="666">
        <v>257</v>
      </c>
      <c r="H219" t="s" s="666">
        <f>IF('Planner Worksheet'!$G$16=TRUNC(B219/10),IF(I219="","",'Planner Worksheet'!$G$17+C219),"")</f>
      </c>
      <c r="I219" t="s" s="666">
        <v>398</v>
      </c>
      <c r="J219" t="s" s="666">
        <f>"* inject "&amp;'Planner Worksheet'!L20&amp;"- all females"</f>
        <v>379</v>
      </c>
      <c r="K219" s="663"/>
      <c r="L219" s="663"/>
      <c r="M219" s="663"/>
      <c r="N219" s="663"/>
      <c r="O219" s="663"/>
      <c r="P219" s="663"/>
      <c r="Q219" s="663"/>
      <c r="R219" s="663"/>
      <c r="S219" s="663"/>
      <c r="T219" s="663"/>
      <c r="U219" s="663"/>
      <c r="V219" s="663"/>
      <c r="W219" s="663"/>
      <c r="X219" s="663"/>
      <c r="Y219" s="663"/>
      <c r="Z219" s="663"/>
      <c r="AA219" s="663"/>
      <c r="AB219" s="663"/>
      <c r="AC219" s="663"/>
      <c r="AD219" s="663"/>
      <c r="AE219" s="663"/>
      <c r="AF219" s="663"/>
      <c r="AG219" s="663"/>
      <c r="AH219" s="663"/>
    </row>
    <row r="220" ht="15" customHeight="1">
      <c r="A220" s="663"/>
      <c r="B220" s="664">
        <v>253</v>
      </c>
      <c r="C220" s="665">
        <v>1</v>
      </c>
      <c r="D220" t="s" s="666">
        <v>272</v>
      </c>
      <c r="E220" t="s" s="666">
        <v>258</v>
      </c>
      <c r="F220" s="663"/>
      <c r="G220" s="663"/>
      <c r="H220" t="s" s="666">
        <f>IF('Planner Worksheet'!$G$16=TRUNC(B220/10),IF(I220="","",'Planner Worksheet'!$G$17+C220),"")</f>
      </c>
      <c r="I220" s="663"/>
      <c r="J220" s="663"/>
      <c r="K220" s="663"/>
      <c r="L220" s="663"/>
      <c r="M220" s="663"/>
      <c r="N220" s="663"/>
      <c r="O220" s="663"/>
      <c r="P220" s="663"/>
      <c r="Q220" s="663"/>
      <c r="R220" s="663"/>
      <c r="S220" s="663"/>
      <c r="T220" s="663"/>
      <c r="U220" s="663"/>
      <c r="V220" s="663"/>
      <c r="W220" s="663"/>
      <c r="X220" s="663"/>
      <c r="Y220" s="663"/>
      <c r="Z220" s="663"/>
      <c r="AA220" s="663"/>
      <c r="AB220" s="663"/>
      <c r="AC220" s="663"/>
      <c r="AD220" s="663"/>
      <c r="AE220" s="663"/>
      <c r="AF220" s="663"/>
      <c r="AG220" s="663"/>
      <c r="AH220" s="663"/>
    </row>
    <row r="221" ht="15" customHeight="1">
      <c r="A221" s="663"/>
      <c r="B221" s="664">
        <v>254</v>
      </c>
      <c r="C221" s="665">
        <v>2</v>
      </c>
      <c r="D221" t="s" s="666">
        <v>272</v>
      </c>
      <c r="E221" t="s" s="666">
        <v>258</v>
      </c>
      <c r="F221" s="663"/>
      <c r="G221" s="663"/>
      <c r="H221" t="s" s="666">
        <f>IF('Planner Worksheet'!$G$16=TRUNC(B221/10),IF(I223="","",'Planner Worksheet'!$G$17+C221),"")</f>
      </c>
      <c r="I221" s="663"/>
      <c r="J221" s="663"/>
      <c r="K221" s="663"/>
      <c r="L221" s="663"/>
      <c r="M221" s="663"/>
      <c r="N221" s="663"/>
      <c r="O221" s="663"/>
      <c r="P221" s="663"/>
      <c r="Q221" s="663"/>
      <c r="R221" s="663"/>
      <c r="S221" s="663"/>
      <c r="T221" s="663"/>
      <c r="U221" s="663"/>
      <c r="V221" s="663"/>
      <c r="W221" s="663"/>
      <c r="X221" s="663"/>
      <c r="Y221" s="663"/>
      <c r="Z221" s="663"/>
      <c r="AA221" s="663"/>
      <c r="AB221" s="663"/>
      <c r="AC221" s="663"/>
      <c r="AD221" s="663"/>
      <c r="AE221" s="663"/>
      <c r="AF221" s="663"/>
      <c r="AG221" s="663"/>
      <c r="AH221" s="663"/>
    </row>
    <row r="222" ht="15" customHeight="1">
      <c r="A222" s="663"/>
      <c r="B222" s="664">
        <v>255</v>
      </c>
      <c r="C222" s="665">
        <f t="shared" si="90"/>
        <v>3</v>
      </c>
      <c r="D222" t="s" s="666">
        <v>276</v>
      </c>
      <c r="E222" t="s" s="666">
        <f>"For females not detected in heat, inject "&amp;'Planner Worksheet'!L19&amp;" (GnRH) &amp; inseminate between the hours:"</f>
        <v>387</v>
      </c>
      <c r="F222" s="663">
        <f>H222+'Planner Worksheet'!G18</f>
      </c>
      <c r="G222" s="663">
        <f>F222+TIME(12,0,0)</f>
      </c>
      <c r="H222" t="s" s="666">
        <f>IF('Planner Worksheet'!$G$16=TRUNC(B222/10),IF(I222="","",'Planner Worksheet'!$G$17+C222),"")</f>
      </c>
      <c r="I222" t="s" s="666">
        <f>"** Inject "&amp;'Planner Worksheet'!L19&amp;" &amp; Clean-up AI (72-84 hrs after "&amp;'Planner Worksheet'!L20&amp;" )"</f>
        <v>388</v>
      </c>
      <c r="J222" s="663"/>
      <c r="K222" s="663"/>
      <c r="L222" s="663"/>
      <c r="M222" s="663"/>
      <c r="N222" s="663"/>
      <c r="O222" s="663"/>
      <c r="P222" s="663"/>
      <c r="Q222" s="663"/>
      <c r="R222" s="663"/>
      <c r="S222" s="663"/>
      <c r="T222" s="663"/>
      <c r="U222" s="663"/>
      <c r="V222" s="663"/>
      <c r="W222" s="663"/>
      <c r="X222" s="663"/>
      <c r="Y222" s="663"/>
      <c r="Z222" s="663"/>
      <c r="AA222" s="663"/>
      <c r="AB222" s="663"/>
      <c r="AC222" s="663"/>
      <c r="AD222" s="663"/>
      <c r="AE222" s="663"/>
      <c r="AF222" s="663"/>
      <c r="AG222" s="663"/>
      <c r="AH222" s="663"/>
    </row>
    <row r="223" ht="15" customHeight="1">
      <c r="A223" s="663"/>
      <c r="B223" s="664">
        <v>256</v>
      </c>
      <c r="C223" s="665">
        <f>'Planner Worksheet'!G21+C222</f>
        <v>3</v>
      </c>
      <c r="D223" t="s" s="666">
        <v>217</v>
      </c>
      <c r="E223" t="s" s="666">
        <v>203</v>
      </c>
      <c r="F223" s="663"/>
      <c r="G223" s="663"/>
      <c r="H223" t="s" s="666">
        <f>IF('Planner Worksheet'!$G$16=TRUNC(B223/10),IF(I223="","",'Planner Worksheet'!$G$17+C223),"")</f>
      </c>
      <c r="I223" t="s" s="666">
        <v>283</v>
      </c>
      <c r="J223" s="663"/>
      <c r="K223" s="663"/>
      <c r="L223" s="663"/>
      <c r="M223" s="663"/>
      <c r="N223" s="663"/>
      <c r="O223" s="663"/>
      <c r="P223" s="663"/>
      <c r="Q223" s="663"/>
      <c r="R223" s="663"/>
      <c r="S223" s="663"/>
      <c r="T223" s="663"/>
      <c r="U223" s="663"/>
      <c r="V223" s="663"/>
      <c r="W223" s="663"/>
      <c r="X223" s="663"/>
      <c r="Y223" s="663"/>
      <c r="Z223" s="663"/>
      <c r="AA223" s="663"/>
      <c r="AB223" s="663"/>
      <c r="AC223" s="663"/>
      <c r="AD223" s="663"/>
      <c r="AE223" s="663"/>
      <c r="AF223" s="663"/>
      <c r="AG223" s="663"/>
      <c r="AH223" s="663"/>
    </row>
    <row r="224" ht="15" customHeight="1">
      <c r="A224" s="663"/>
      <c r="B224" s="664">
        <v>257</v>
      </c>
      <c r="C224" s="665">
        <v>23</v>
      </c>
      <c r="D224" t="s" s="666">
        <v>218</v>
      </c>
      <c r="E224" s="663"/>
      <c r="F224" s="663"/>
      <c r="G224" s="663"/>
      <c r="H224" s="663">
        <f>23+H219</f>
      </c>
      <c r="I224" t="s" s="666">
        <v>289</v>
      </c>
      <c r="J224" s="663"/>
      <c r="K224" s="663"/>
      <c r="L224" s="663"/>
      <c r="M224" s="663"/>
      <c r="N224" s="663"/>
      <c r="O224" s="663"/>
      <c r="P224" s="663"/>
      <c r="Q224" s="663"/>
      <c r="R224" s="663"/>
      <c r="S224" s="663"/>
      <c r="T224" s="663"/>
      <c r="U224" s="663"/>
      <c r="V224" s="663"/>
      <c r="W224" s="663"/>
      <c r="X224" s="663"/>
      <c r="Y224" s="663"/>
      <c r="Z224" s="663"/>
      <c r="AA224" s="663"/>
      <c r="AB224" s="663"/>
      <c r="AC224" s="663"/>
      <c r="AD224" s="663"/>
      <c r="AE224" s="663"/>
      <c r="AF224" s="663"/>
      <c r="AG224" s="663"/>
      <c r="AH224" s="663"/>
    </row>
    <row r="225" ht="15" customHeight="1">
      <c r="A225" s="663"/>
      <c r="B225" s="664">
        <v>258</v>
      </c>
      <c r="C225" s="665"/>
      <c r="D225" s="663"/>
      <c r="E225" s="663"/>
      <c r="F225" s="663"/>
      <c r="G225" s="663"/>
      <c r="H225" s="663"/>
      <c r="I225" s="663"/>
      <c r="J225" s="663"/>
      <c r="K225" s="663"/>
      <c r="L225" s="663"/>
      <c r="M225" s="663"/>
      <c r="N225" s="663"/>
      <c r="O225" s="663"/>
      <c r="P225" s="663"/>
      <c r="Q225" s="663"/>
      <c r="R225" s="663"/>
      <c r="S225" s="663"/>
      <c r="T225" s="663"/>
      <c r="U225" s="663"/>
      <c r="V225" s="663"/>
      <c r="W225" s="663"/>
      <c r="X225" s="663"/>
      <c r="Y225" s="663"/>
      <c r="Z225" s="663"/>
      <c r="AA225" s="663"/>
      <c r="AB225" s="663"/>
      <c r="AC225" s="663"/>
      <c r="AD225" s="663"/>
      <c r="AE225" s="663"/>
      <c r="AF225" s="663"/>
      <c r="AG225" s="663"/>
      <c r="AH225" s="663"/>
    </row>
    <row r="226" ht="15" customHeight="1">
      <c r="A226" s="668"/>
      <c r="B226" s="669">
        <v>259</v>
      </c>
      <c r="C226" s="670"/>
      <c r="D226" s="668"/>
      <c r="E226" s="668"/>
      <c r="F226" s="668"/>
      <c r="G226" s="668"/>
      <c r="H226" s="668"/>
      <c r="I226" s="668"/>
      <c r="J226" s="668"/>
      <c r="K226" s="668"/>
      <c r="L226" s="668"/>
      <c r="M226" s="668"/>
      <c r="N226" s="668"/>
      <c r="O226" s="668"/>
      <c r="P226" s="668"/>
      <c r="Q226" s="668"/>
      <c r="R226" s="668"/>
      <c r="S226" s="668"/>
      <c r="T226" s="668"/>
      <c r="U226" s="668"/>
      <c r="V226" s="668"/>
      <c r="W226" s="668"/>
      <c r="X226" s="668"/>
      <c r="Y226" s="668"/>
      <c r="Z226" s="668"/>
      <c r="AA226" s="668"/>
      <c r="AB226" s="668"/>
      <c r="AC226" s="668"/>
      <c r="AD226" s="668"/>
      <c r="AE226" s="668"/>
      <c r="AF226" s="668"/>
      <c r="AG226" s="668"/>
      <c r="AH226" s="668"/>
    </row>
    <row r="227" ht="15" customHeight="1">
      <c r="A227" s="676">
        <f>H229-2</f>
      </c>
      <c r="B227" s="673">
        <v>261</v>
      </c>
      <c r="C227" s="674">
        <v>-32</v>
      </c>
      <c r="D227" t="s" s="675">
        <v>371</v>
      </c>
      <c r="E227" s="676">
        <f>CONCATENATE("Continue feeding until ",MONTH(A227),"/",DAY(A227),"/",YEAR(A227),".")</f>
      </c>
      <c r="F227" s="676"/>
      <c r="G227" s="676"/>
      <c r="H227" s="676"/>
      <c r="I227" s="676"/>
      <c r="J227" s="676"/>
      <c r="K227" s="676"/>
      <c r="L227" s="676"/>
      <c r="M227" s="676"/>
      <c r="N227" s="676"/>
      <c r="O227" s="676"/>
      <c r="P227" s="676"/>
      <c r="Q227" s="676"/>
      <c r="R227" s="676"/>
      <c r="S227" s="676"/>
      <c r="T227" s="676"/>
      <c r="U227" s="676"/>
      <c r="V227" s="676"/>
      <c r="W227" s="676"/>
      <c r="X227" s="676"/>
      <c r="Y227" s="676"/>
      <c r="Z227" s="676"/>
      <c r="AA227" s="676"/>
      <c r="AB227" s="676"/>
      <c r="AC227" s="676"/>
      <c r="AD227" s="676"/>
      <c r="AE227" s="676"/>
      <c r="AF227" s="676"/>
      <c r="AG227" s="676"/>
      <c r="AH227" s="676"/>
    </row>
    <row r="228" ht="15" customHeight="1">
      <c r="A228" s="663"/>
      <c r="B228" s="664">
        <v>262</v>
      </c>
      <c r="C228" s="665">
        <v>-19</v>
      </c>
      <c r="D228" t="s" s="666">
        <v>374</v>
      </c>
      <c r="E228" s="663"/>
      <c r="F228" s="663"/>
      <c r="G228" s="663"/>
      <c r="H228" s="663"/>
      <c r="I228" s="663"/>
      <c r="J228" s="663"/>
      <c r="K228" s="663"/>
      <c r="L228" s="663"/>
      <c r="M228" s="663"/>
      <c r="N228" s="663"/>
      <c r="O228" s="663"/>
      <c r="P228" s="663"/>
      <c r="Q228" s="663"/>
      <c r="R228" s="663"/>
      <c r="S228" s="663"/>
      <c r="T228" s="663"/>
      <c r="U228" s="663"/>
      <c r="V228" s="663"/>
      <c r="W228" s="663"/>
      <c r="X228" s="663"/>
      <c r="Y228" s="663"/>
      <c r="Z228" s="663"/>
      <c r="AA228" s="663"/>
      <c r="AB228" s="663"/>
      <c r="AC228" s="663"/>
      <c r="AD228" s="663"/>
      <c r="AE228" s="663"/>
      <c r="AF228" s="663"/>
      <c r="AG228" s="663"/>
      <c r="AH228" s="663"/>
    </row>
    <row r="229" ht="15" customHeight="1">
      <c r="A229" s="685"/>
      <c r="B229" s="664">
        <v>263</v>
      </c>
      <c r="C229" s="665">
        <v>-17</v>
      </c>
      <c r="D229" t="s" s="666">
        <v>377</v>
      </c>
      <c r="E229" s="663"/>
      <c r="F229" s="663"/>
      <c r="G229" s="663"/>
      <c r="H229" t="s" s="666">
        <f>IF('Planner Worksheet'!$G$16=TRUNC(B229/10),IF(I229="","",'Planner Worksheet'!$G$17+C229),"")</f>
      </c>
      <c r="I229" t="s" s="666">
        <v>378</v>
      </c>
      <c r="J229" s="663"/>
      <c r="K229" s="663"/>
      <c r="L229" s="663"/>
      <c r="M229" s="663"/>
      <c r="N229" s="663"/>
      <c r="O229" s="663"/>
      <c r="P229" s="663"/>
      <c r="Q229" s="663"/>
      <c r="R229" s="663"/>
      <c r="S229" s="663"/>
      <c r="T229" s="663"/>
      <c r="U229" s="663"/>
      <c r="V229" s="663"/>
      <c r="W229" s="663"/>
      <c r="X229" s="663"/>
      <c r="Y229" s="663"/>
      <c r="Z229" s="663"/>
      <c r="AA229" s="663"/>
      <c r="AB229" s="663"/>
      <c r="AC229" s="663"/>
      <c r="AD229" s="663"/>
      <c r="AE229" s="663"/>
      <c r="AF229" s="663"/>
      <c r="AG229" s="663"/>
      <c r="AH229" s="663"/>
    </row>
    <row r="230" ht="15" customHeight="1">
      <c r="A230" s="685"/>
      <c r="B230" s="664">
        <v>264</v>
      </c>
      <c r="C230" s="665">
        <v>0</v>
      </c>
      <c r="D230" t="s" s="666">
        <f>"Inject "&amp;'Planner Worksheet'!L20&amp;" (PG) to all females at: "</f>
        <v>386</v>
      </c>
      <c r="E230" s="683">
        <f>'Planner Worksheet'!G18</f>
        <v>0.4166666666666666</v>
      </c>
      <c r="F230" t="s" s="666">
        <v>257</v>
      </c>
      <c r="G230" t="s" s="666">
        <v>258</v>
      </c>
      <c r="H230" t="s" s="666">
        <f>IF('Planner Worksheet'!$G$16=TRUNC(B230/10),IF(I230="","",'Planner Worksheet'!$G$17+C230),"")</f>
      </c>
      <c r="I230" t="s" s="666">
        <f>"* inject "&amp;'Planner Worksheet'!L20&amp;"- all females"</f>
        <v>379</v>
      </c>
      <c r="J230" s="663"/>
      <c r="K230" s="663"/>
      <c r="L230" s="663"/>
      <c r="M230" s="663"/>
      <c r="N230" s="663"/>
      <c r="O230" s="663"/>
      <c r="P230" s="663"/>
      <c r="Q230" s="663"/>
      <c r="R230" s="663"/>
      <c r="S230" s="663"/>
      <c r="T230" s="663"/>
      <c r="U230" s="663"/>
      <c r="V230" s="663"/>
      <c r="W230" s="663"/>
      <c r="X230" s="663"/>
      <c r="Y230" s="663"/>
      <c r="Z230" s="663"/>
      <c r="AA230" s="663"/>
      <c r="AB230" s="663"/>
      <c r="AC230" s="663"/>
      <c r="AD230" s="663"/>
      <c r="AE230" s="663"/>
      <c r="AF230" s="663"/>
      <c r="AG230" s="663"/>
      <c r="AH230" s="663"/>
    </row>
    <row r="231" ht="15" customHeight="1">
      <c r="A231" s="663"/>
      <c r="B231" s="664">
        <v>265</v>
      </c>
      <c r="C231" s="665">
        <v>1</v>
      </c>
      <c r="D231" t="s" s="666">
        <v>272</v>
      </c>
      <c r="E231" t="s" s="666">
        <v>258</v>
      </c>
      <c r="F231" s="663"/>
      <c r="G231" s="663"/>
      <c r="H231" s="667"/>
      <c r="I231" s="663"/>
      <c r="J231" s="663"/>
      <c r="K231" s="663"/>
      <c r="L231" s="663"/>
      <c r="M231" s="663"/>
      <c r="N231" s="663"/>
      <c r="O231" s="663"/>
      <c r="P231" s="663"/>
      <c r="Q231" s="663"/>
      <c r="R231" s="663"/>
      <c r="S231" s="663"/>
      <c r="T231" s="663"/>
      <c r="U231" s="663"/>
      <c r="V231" s="663"/>
      <c r="W231" s="663"/>
      <c r="X231" s="663"/>
      <c r="Y231" s="663"/>
      <c r="Z231" s="663"/>
      <c r="AA231" s="663"/>
      <c r="AB231" s="663"/>
      <c r="AC231" s="663"/>
      <c r="AD231" s="663"/>
      <c r="AE231" s="663"/>
      <c r="AF231" s="663"/>
      <c r="AG231" s="663"/>
      <c r="AH231" s="663"/>
    </row>
    <row r="232" ht="15" customHeight="1">
      <c r="A232" s="663"/>
      <c r="B232" s="664">
        <v>266</v>
      </c>
      <c r="C232" s="665">
        <v>2</v>
      </c>
      <c r="D232" t="s" s="666">
        <v>272</v>
      </c>
      <c r="E232" t="s" s="666">
        <v>258</v>
      </c>
      <c r="F232" s="663"/>
      <c r="G232" s="663"/>
      <c r="H232" t="s" s="666">
        <f>IF('Planner Worksheet'!$G$16=TRUNC(B232/10),IF(I232="","",'Planner Worksheet'!$G$17+C232),"")</f>
      </c>
      <c r="I232" t="s" s="666">
        <v>357</v>
      </c>
      <c r="J232" s="663"/>
      <c r="K232" s="663"/>
      <c r="L232" s="663"/>
      <c r="M232" s="663"/>
      <c r="N232" s="663"/>
      <c r="O232" s="663"/>
      <c r="P232" s="663"/>
      <c r="Q232" s="663"/>
      <c r="R232" s="663"/>
      <c r="S232" s="663"/>
      <c r="T232" s="663"/>
      <c r="U232" s="663"/>
      <c r="V232" s="663"/>
      <c r="W232" s="663"/>
      <c r="X232" s="663"/>
      <c r="Y232" s="663"/>
      <c r="Z232" s="663"/>
      <c r="AA232" s="663"/>
      <c r="AB232" s="663"/>
      <c r="AC232" s="663"/>
      <c r="AD232" s="663"/>
      <c r="AE232" s="663"/>
      <c r="AF232" s="663"/>
      <c r="AG232" s="663"/>
      <c r="AH232" s="663"/>
    </row>
    <row r="233" ht="15" customHeight="1">
      <c r="A233" s="663"/>
      <c r="B233" s="664">
        <v>267</v>
      </c>
      <c r="C233" s="665">
        <v>3</v>
      </c>
      <c r="D233" t="s" s="666">
        <v>276</v>
      </c>
      <c r="E233" t="s" s="666">
        <f>"For females not detected in heat, inject "&amp;'Planner Worksheet'!L19&amp;" (GnRH) &amp; inseminate between the hours:"</f>
        <v>387</v>
      </c>
      <c r="F233" s="663">
        <f>H233+'Planner Worksheet'!G18</f>
      </c>
      <c r="G233" s="663">
        <f>F233+TIME(12,0,0)</f>
      </c>
      <c r="H233" t="s" s="666">
        <f>IF('Planner Worksheet'!$G$16=TRUNC(B233/10),IF(I233="","",'Planner Worksheet'!$G$17+C233),"")</f>
      </c>
      <c r="I233" t="s" s="666">
        <f>"** Inject "&amp;'Planner Worksheet'!L19&amp;" &amp; Clean-up AI (72-84 hrs after "&amp;'Planner Worksheet'!L20&amp;" )"</f>
        <v>388</v>
      </c>
      <c r="J233" s="663"/>
      <c r="K233" s="663"/>
      <c r="L233" s="663"/>
      <c r="M233" s="663"/>
      <c r="N233" s="663"/>
      <c r="O233" s="663"/>
      <c r="P233" s="663"/>
      <c r="Q233" s="663"/>
      <c r="R233" s="663"/>
      <c r="S233" s="663"/>
      <c r="T233" s="663"/>
      <c r="U233" s="663"/>
      <c r="V233" s="663"/>
      <c r="W233" s="663"/>
      <c r="X233" s="663"/>
      <c r="Y233" s="663"/>
      <c r="Z233" s="663"/>
      <c r="AA233" s="663"/>
      <c r="AB233" s="663"/>
      <c r="AC233" s="663"/>
      <c r="AD233" s="663"/>
      <c r="AE233" s="663"/>
      <c r="AF233" s="663"/>
      <c r="AG233" s="663"/>
      <c r="AH233" s="663"/>
    </row>
    <row r="234" ht="15" customHeight="1">
      <c r="A234" s="663"/>
      <c r="B234" s="664">
        <v>268</v>
      </c>
      <c r="C234" s="665">
        <f>'Planner Worksheet'!G21+C233</f>
        <v>3</v>
      </c>
      <c r="D234" t="s" s="666">
        <v>217</v>
      </c>
      <c r="E234" t="s" s="666">
        <v>203</v>
      </c>
      <c r="F234" s="663"/>
      <c r="G234" s="663"/>
      <c r="H234" t="s" s="666">
        <f>IF('Planner Worksheet'!$G$16=TRUNC(B234/10),IF(I234="","",'Planner Worksheet'!$G$17+C234),"")</f>
      </c>
      <c r="I234" t="s" s="666">
        <v>283</v>
      </c>
      <c r="J234" s="663"/>
      <c r="K234" s="663"/>
      <c r="L234" s="663"/>
      <c r="M234" s="663"/>
      <c r="N234" s="663"/>
      <c r="O234" s="663"/>
      <c r="P234" s="663"/>
      <c r="Q234" s="663"/>
      <c r="R234" s="663"/>
      <c r="S234" s="663"/>
      <c r="T234" s="663"/>
      <c r="U234" s="663"/>
      <c r="V234" s="663"/>
      <c r="W234" s="663"/>
      <c r="X234" s="663"/>
      <c r="Y234" s="663"/>
      <c r="Z234" s="663"/>
      <c r="AA234" s="663"/>
      <c r="AB234" s="663"/>
      <c r="AC234" s="663"/>
      <c r="AD234" s="663"/>
      <c r="AE234" s="663"/>
      <c r="AF234" s="663"/>
      <c r="AG234" s="663"/>
      <c r="AH234" s="663"/>
    </row>
    <row r="235" ht="15" customHeight="1">
      <c r="A235" s="668"/>
      <c r="B235" s="669">
        <v>269</v>
      </c>
      <c r="C235" s="670">
        <v>23</v>
      </c>
      <c r="D235" t="s" s="681">
        <v>218</v>
      </c>
      <c r="E235" s="668"/>
      <c r="F235" s="668"/>
      <c r="G235" s="668"/>
      <c r="H235" s="668">
        <f>23+H230</f>
      </c>
      <c r="I235" t="s" s="681">
        <v>289</v>
      </c>
      <c r="J235" s="668"/>
      <c r="K235" s="668"/>
      <c r="L235" s="668"/>
      <c r="M235" s="668"/>
      <c r="N235" s="668"/>
      <c r="O235" s="668"/>
      <c r="P235" s="668"/>
      <c r="Q235" s="668"/>
      <c r="R235" s="668"/>
      <c r="S235" s="668"/>
      <c r="T235" s="668"/>
      <c r="U235" s="663"/>
      <c r="V235" s="663"/>
      <c r="W235" s="663"/>
      <c r="X235" s="663"/>
      <c r="Y235" s="663"/>
      <c r="Z235" s="663"/>
      <c r="AA235" s="663"/>
      <c r="AB235" s="663"/>
      <c r="AC235" s="663"/>
      <c r="AD235" s="663"/>
      <c r="AE235" s="663"/>
      <c r="AF235" s="663"/>
      <c r="AG235" s="663"/>
      <c r="AH235" s="663"/>
    </row>
    <row r="236" ht="15" customHeight="1">
      <c r="A236" s="676">
        <f>H238-2</f>
      </c>
      <c r="B236" s="673">
        <v>271</v>
      </c>
      <c r="C236" s="674">
        <v>-35</v>
      </c>
      <c r="D236" t="s" s="675">
        <v>371</v>
      </c>
      <c r="E236" s="676">
        <f>CONCATENATE("Continue feeding until ",MONTH(A236),"/",DAY(A236),"/",YEAR(A236),".")</f>
      </c>
      <c r="F236" s="676"/>
      <c r="G236" s="676"/>
      <c r="H236" s="676"/>
      <c r="I236" s="676"/>
      <c r="J236" s="676"/>
      <c r="K236" s="676"/>
      <c r="L236" s="676"/>
      <c r="M236" s="676"/>
      <c r="N236" s="676"/>
      <c r="O236" s="676"/>
      <c r="P236" s="676"/>
      <c r="Q236" s="676"/>
      <c r="R236" s="676"/>
      <c r="S236" s="676"/>
      <c r="T236" s="676"/>
      <c r="U236" s="663"/>
      <c r="V236" s="663"/>
      <c r="W236" s="663"/>
      <c r="X236" s="663"/>
      <c r="Y236" s="663"/>
      <c r="Z236" s="663"/>
      <c r="AA236" s="663"/>
      <c r="AB236" s="663"/>
      <c r="AC236" s="663"/>
      <c r="AD236" s="663"/>
      <c r="AE236" s="663"/>
      <c r="AF236" s="663"/>
      <c r="AG236" s="663"/>
      <c r="AH236" s="663"/>
    </row>
    <row r="237" ht="15" customHeight="1">
      <c r="A237" s="663"/>
      <c r="B237" s="664">
        <v>272</v>
      </c>
      <c r="C237" s="665">
        <v>-22</v>
      </c>
      <c r="D237" t="s" s="666">
        <v>374</v>
      </c>
      <c r="E237" s="663"/>
      <c r="F237" s="663"/>
      <c r="G237" s="663"/>
      <c r="H237" s="663"/>
      <c r="I237" s="663"/>
      <c r="J237" s="663"/>
      <c r="K237" s="663"/>
      <c r="L237" s="663"/>
      <c r="M237" s="663"/>
      <c r="N237" s="663"/>
      <c r="O237" s="663"/>
      <c r="P237" s="663"/>
      <c r="Q237" s="663"/>
      <c r="R237" s="663"/>
      <c r="S237" s="663"/>
      <c r="T237" s="663"/>
      <c r="U237" s="663"/>
      <c r="V237" s="663"/>
      <c r="W237" s="663"/>
      <c r="X237" s="663"/>
      <c r="Y237" s="663"/>
      <c r="Z237" s="663"/>
      <c r="AA237" s="663"/>
      <c r="AB237" s="663"/>
      <c r="AC237" s="663"/>
      <c r="AD237" s="663"/>
      <c r="AE237" s="663"/>
      <c r="AF237" s="663"/>
      <c r="AG237" s="663"/>
      <c r="AH237" s="663"/>
    </row>
    <row r="238" ht="15" customHeight="1">
      <c r="A238" s="688">
        <v>-3</v>
      </c>
      <c r="B238" s="664">
        <v>273</v>
      </c>
      <c r="C238" s="665">
        <v>-20</v>
      </c>
      <c r="D238" t="s" s="666">
        <v>377</v>
      </c>
      <c r="E238" s="663"/>
      <c r="F238" s="663"/>
      <c r="G238" s="663"/>
      <c r="H238" t="s" s="666">
        <f>IF('Planner Worksheet'!$G$16=TRUNC(B238/10),IF(I238="","",'Planner Worksheet'!$G$17+C238),"")</f>
      </c>
      <c r="I238" t="s" s="666">
        <v>378</v>
      </c>
      <c r="J238" s="663"/>
      <c r="K238" s="663"/>
      <c r="L238" s="663"/>
      <c r="M238" s="663"/>
      <c r="N238" s="663"/>
      <c r="O238" s="663"/>
      <c r="P238" s="663"/>
      <c r="Q238" s="663"/>
      <c r="R238" s="663"/>
      <c r="S238" s="663"/>
      <c r="T238" s="663"/>
      <c r="U238" s="663"/>
      <c r="V238" s="663"/>
      <c r="W238" s="663"/>
      <c r="X238" s="663"/>
      <c r="Y238" s="663"/>
      <c r="Z238" s="663"/>
      <c r="AA238" s="663"/>
      <c r="AB238" s="663"/>
      <c r="AC238" s="663"/>
      <c r="AD238" s="663"/>
      <c r="AE238" s="663"/>
      <c r="AF238" s="663"/>
      <c r="AG238" s="663"/>
      <c r="AH238" s="663"/>
    </row>
    <row r="239" ht="15" customHeight="1">
      <c r="A239" s="663">
        <f>A240-72/24</f>
      </c>
      <c r="B239" s="664">
        <v>274</v>
      </c>
      <c r="C239" s="684">
        <f>A238</f>
        <v>-3</v>
      </c>
      <c r="D239" t="s" s="666">
        <f>"Inject "&amp;'Planner Worksheet'!L20&amp;" (PG) to all females at: "</f>
        <v>386</v>
      </c>
      <c r="E239" s="683">
        <f>'Planner Worksheet'!G18</f>
        <v>0.4166666666666666</v>
      </c>
      <c r="F239" s="663"/>
      <c r="G239" s="663"/>
      <c r="H239" t="s" s="666">
        <f>IF('Planner Worksheet'!$G$16=TRUNC(B239/10),IF(I239="","",'Planner Worksheet'!$G$17+C239),"")</f>
      </c>
      <c r="I239" t="s" s="666">
        <f>"* inject "&amp;'Planner Worksheet'!L20&amp;"- all females"</f>
        <v>379</v>
      </c>
      <c r="J239" s="663"/>
      <c r="K239" s="663"/>
      <c r="L239" s="663"/>
      <c r="M239" s="663"/>
      <c r="N239" s="663"/>
      <c r="O239" s="663"/>
      <c r="P239" s="663"/>
      <c r="Q239" s="663"/>
      <c r="R239" s="663"/>
      <c r="S239" s="663"/>
      <c r="T239" s="663"/>
      <c r="U239" s="663"/>
      <c r="V239" s="663"/>
      <c r="W239" s="663"/>
      <c r="X239" s="663"/>
      <c r="Y239" s="663"/>
      <c r="Z239" s="663"/>
      <c r="AA239" s="663"/>
      <c r="AB239" s="663"/>
      <c r="AC239" s="663"/>
      <c r="AD239" s="663"/>
      <c r="AE239" s="663"/>
      <c r="AF239" s="663"/>
      <c r="AG239" s="663"/>
      <c r="AH239" s="663"/>
    </row>
    <row r="240" ht="15" customHeight="1">
      <c r="A240" s="663">
        <f t="shared" si="107"/>
      </c>
      <c r="B240" s="664">
        <v>275</v>
      </c>
      <c r="C240" s="665">
        <v>0</v>
      </c>
      <c r="D240" t="s" s="666">
        <f>"Inject "&amp;'Planner Worksheet'!L19&amp;" (GnRH) to all females."</f>
        <v>382</v>
      </c>
      <c r="E240" t="s" s="666">
        <v>216</v>
      </c>
      <c r="F240" s="663">
        <f>'Calendar'!D10</f>
      </c>
      <c r="G240" s="663">
        <f>'Calendar'!G10</f>
      </c>
      <c r="H240" t="s" s="666">
        <f>IF('Planner Worksheet'!$G$16=TRUNC(B242/10),IF(I240="","",'Planner Worksheet'!$G$17+C240),"")</f>
      </c>
      <c r="I240" t="s" s="666">
        <f>"** Inject "&amp;'Planner Worksheet'!L19&amp;" &amp; Fixed Time AI (72 hrs after "&amp;'Planner Worksheet'!L20&amp;" )"</f>
        <v>413</v>
      </c>
      <c r="J240" s="663"/>
      <c r="K240" s="663"/>
      <c r="L240" s="663"/>
      <c r="M240" s="663"/>
      <c r="N240" s="663"/>
      <c r="O240" s="663"/>
      <c r="P240" s="663"/>
      <c r="Q240" s="663"/>
      <c r="R240" s="663"/>
      <c r="S240" s="663"/>
      <c r="T240" s="663"/>
      <c r="U240" s="663"/>
      <c r="V240" s="663"/>
      <c r="W240" s="663"/>
      <c r="X240" s="663"/>
      <c r="Y240" s="663"/>
      <c r="Z240" s="663"/>
      <c r="AA240" s="663"/>
      <c r="AB240" s="663"/>
      <c r="AC240" s="663"/>
      <c r="AD240" s="663"/>
      <c r="AE240" s="663"/>
      <c r="AF240" s="663"/>
      <c r="AG240" s="663"/>
      <c r="AH240" s="663"/>
    </row>
    <row r="241" ht="15" customHeight="1">
      <c r="A241" s="663"/>
      <c r="B241" s="664">
        <v>276</v>
      </c>
      <c r="C241" s="665">
        <f>'Planner Worksheet'!G21</f>
        <v>0</v>
      </c>
      <c r="D241" t="s" s="666">
        <v>217</v>
      </c>
      <c r="E241" t="s" s="666">
        <v>203</v>
      </c>
      <c r="F241" s="663"/>
      <c r="G241" s="663"/>
      <c r="H241" t="s" s="666">
        <f>IF('Planner Worksheet'!$G$16=TRUNC(B243/10),IF(I241="","",'Planner Worksheet'!$G$17+C241),"")</f>
      </c>
      <c r="I241" t="s" s="666">
        <v>283</v>
      </c>
      <c r="J241" s="663"/>
      <c r="K241" s="663"/>
      <c r="L241" s="663"/>
      <c r="M241" s="663"/>
      <c r="N241" s="663"/>
      <c r="O241" s="663"/>
      <c r="P241" s="663"/>
      <c r="Q241" s="663"/>
      <c r="R241" s="663"/>
      <c r="S241" s="663"/>
      <c r="T241" s="663"/>
      <c r="U241" s="663"/>
      <c r="V241" s="663"/>
      <c r="W241" s="663"/>
      <c r="X241" s="663"/>
      <c r="Y241" s="663"/>
      <c r="Z241" s="663"/>
      <c r="AA241" s="663"/>
      <c r="AB241" s="663"/>
      <c r="AC241" s="663"/>
      <c r="AD241" s="663"/>
      <c r="AE241" s="663"/>
      <c r="AF241" s="663"/>
      <c r="AG241" s="663"/>
      <c r="AH241" s="663"/>
    </row>
    <row r="242" ht="15" customHeight="1">
      <c r="A242" s="663"/>
      <c r="B242" s="664">
        <v>277</v>
      </c>
      <c r="C242" s="665">
        <v>21</v>
      </c>
      <c r="D242" t="s" s="666">
        <v>218</v>
      </c>
      <c r="E242" s="663"/>
      <c r="F242" s="663"/>
      <c r="G242" s="663"/>
      <c r="H242" s="663">
        <f>21+H240</f>
      </c>
      <c r="I242" t="s" s="666">
        <v>289</v>
      </c>
      <c r="J242" s="663"/>
      <c r="K242" s="663"/>
      <c r="L242" s="663"/>
      <c r="M242" s="663"/>
      <c r="N242" s="663"/>
      <c r="O242" s="663"/>
      <c r="P242" s="663"/>
      <c r="Q242" s="663"/>
      <c r="R242" s="663"/>
      <c r="S242" s="663"/>
      <c r="T242" s="663"/>
      <c r="U242" s="663"/>
      <c r="V242" s="663"/>
      <c r="W242" s="663"/>
      <c r="X242" s="663"/>
      <c r="Y242" s="663"/>
      <c r="Z242" s="663"/>
      <c r="AA242" s="663"/>
      <c r="AB242" s="663"/>
      <c r="AC242" s="663"/>
      <c r="AD242" s="663"/>
      <c r="AE242" s="663"/>
      <c r="AF242" s="663"/>
      <c r="AG242" s="663"/>
      <c r="AH242" s="663"/>
    </row>
    <row r="243" ht="15" customHeight="1">
      <c r="A243" s="663"/>
      <c r="B243" s="664">
        <v>278</v>
      </c>
      <c r="C243" s="665"/>
      <c r="D243" s="663"/>
      <c r="E243" s="663"/>
      <c r="F243" s="663"/>
      <c r="G243" s="663"/>
      <c r="H243" s="667"/>
      <c r="I243" s="663"/>
      <c r="J243" s="663"/>
      <c r="K243" s="663"/>
      <c r="L243" s="663"/>
      <c r="M243" s="663"/>
      <c r="N243" s="663"/>
      <c r="O243" s="663"/>
      <c r="P243" s="663"/>
      <c r="Q243" s="663"/>
      <c r="R243" s="663"/>
      <c r="S243" s="663"/>
      <c r="T243" s="663"/>
      <c r="U243" s="663"/>
      <c r="V243" s="663"/>
      <c r="W243" s="663"/>
      <c r="X243" s="663"/>
      <c r="Y243" s="663"/>
      <c r="Z243" s="663"/>
      <c r="AA243" s="663"/>
      <c r="AB243" s="663"/>
      <c r="AC243" s="663"/>
      <c r="AD243" s="663"/>
      <c r="AE243" s="663"/>
      <c r="AF243" s="663"/>
      <c r="AG243" s="663"/>
      <c r="AH243" s="663"/>
    </row>
    <row r="244" ht="15" customHeight="1">
      <c r="A244" s="668"/>
      <c r="B244" s="669">
        <v>279</v>
      </c>
      <c r="C244" s="670"/>
      <c r="D244" s="668"/>
      <c r="E244" s="668"/>
      <c r="F244" s="668"/>
      <c r="G244" s="668"/>
      <c r="H244" s="668"/>
      <c r="I244" s="668"/>
      <c r="J244" s="668"/>
      <c r="K244" s="668"/>
      <c r="L244" s="668"/>
      <c r="M244" s="668"/>
      <c r="N244" s="668"/>
      <c r="O244" s="668"/>
      <c r="P244" s="668"/>
      <c r="Q244" s="668"/>
      <c r="R244" s="668"/>
      <c r="S244" s="668"/>
      <c r="T244" s="668"/>
      <c r="U244" s="668"/>
      <c r="V244" s="668"/>
      <c r="W244" s="668"/>
      <c r="X244" s="668"/>
      <c r="Y244" s="668"/>
      <c r="Z244" s="668"/>
      <c r="AA244" s="668"/>
      <c r="AB244" s="668"/>
      <c r="AC244" s="668"/>
      <c r="AD244" s="668"/>
      <c r="AE244" s="668"/>
      <c r="AF244" s="668"/>
      <c r="AG244" s="668"/>
      <c r="AH244" s="668"/>
    </row>
    <row r="245" ht="15" customHeight="1">
      <c r="A245" t="s" s="675">
        <f>H249</f>
      </c>
      <c r="B245" s="673">
        <v>281</v>
      </c>
      <c r="C245" s="674">
        <v>-33</v>
      </c>
      <c r="D245" t="s" s="675">
        <v>209</v>
      </c>
      <c r="E245" s="676"/>
      <c r="F245" s="676"/>
      <c r="G245" s="676"/>
      <c r="H245" t="s" s="675">
        <f>IF('Planner Worksheet'!$G$16=TRUNC(B247/10),IF(I245="","",'Planner Worksheet'!$G$17+C245),"")</f>
      </c>
      <c r="I245" t="s" s="675">
        <v>397</v>
      </c>
      <c r="J245" s="676"/>
      <c r="K245" s="676"/>
      <c r="L245" s="676"/>
      <c r="M245" s="676"/>
      <c r="N245" s="676"/>
      <c r="O245" s="676"/>
      <c r="P245" s="676"/>
      <c r="Q245" s="676"/>
      <c r="R245" s="676"/>
      <c r="S245" s="676"/>
      <c r="T245" s="676"/>
      <c r="U245" s="676"/>
      <c r="V245" s="676"/>
      <c r="W245" s="676"/>
      <c r="X245" s="676"/>
      <c r="Y245" s="676"/>
      <c r="Z245" s="676"/>
      <c r="AA245" s="676"/>
      <c r="AB245" s="676"/>
      <c r="AC245" s="676"/>
      <c r="AD245" s="676"/>
      <c r="AE245" s="676"/>
      <c r="AF245" s="676"/>
      <c r="AG245" s="676"/>
      <c r="AH245" s="676"/>
    </row>
    <row r="246" ht="15" customHeight="1">
      <c r="A246" s="663"/>
      <c r="B246" s="664">
        <v>282</v>
      </c>
      <c r="C246" s="665">
        <v>-19</v>
      </c>
      <c r="D246" t="s" s="666">
        <v>414</v>
      </c>
      <c r="E246" s="663"/>
      <c r="F246" s="663"/>
      <c r="G246" s="663"/>
      <c r="H246" t="s" s="666">
        <f>IF('Planner Worksheet'!$G$16=TRUNC(B248/10),IF(I246="","",'Planner Worksheet'!$G$17+C246),"")</f>
      </c>
      <c r="I246" t="s" s="666">
        <v>398</v>
      </c>
      <c r="J246" s="663"/>
      <c r="K246" s="663"/>
      <c r="L246" s="663"/>
      <c r="M246" s="663"/>
      <c r="N246" s="663"/>
      <c r="O246" s="663"/>
      <c r="P246" s="663"/>
      <c r="Q246" s="663"/>
      <c r="R246" s="663"/>
      <c r="S246" s="663"/>
      <c r="T246" s="663"/>
      <c r="U246" s="663"/>
      <c r="V246" s="663"/>
      <c r="W246" s="663"/>
      <c r="X246" s="663"/>
      <c r="Y246" s="663"/>
      <c r="Z246" s="663"/>
      <c r="AA246" s="663"/>
      <c r="AB246" s="663"/>
      <c r="AC246" s="663"/>
      <c r="AD246" s="663"/>
      <c r="AE246" s="663"/>
      <c r="AF246" s="663"/>
      <c r="AG246" s="663"/>
      <c r="AH246" s="663"/>
    </row>
    <row r="247" ht="15" customHeight="1">
      <c r="A247" s="688">
        <v>-3</v>
      </c>
      <c r="B247" s="664">
        <v>283</v>
      </c>
      <c r="C247" s="665">
        <v>-10</v>
      </c>
      <c r="D247" t="s" s="666">
        <f>"Inject "&amp;'Planner Worksheet'!L19&amp;" (GnRH) to all females."</f>
        <v>382</v>
      </c>
      <c r="E247" s="663"/>
      <c r="F247" s="663"/>
      <c r="G247" s="663"/>
      <c r="H247" t="s" s="666">
        <f>IF('Planner Worksheet'!$G$16=TRUNC(B249/10),IF(I247="","",'Planner Worksheet'!$G$17+C247),"")</f>
      </c>
      <c r="I247" t="s" s="666">
        <f>"* Inject "&amp;'Planner Worksheet'!L19&amp;" to all females"</f>
        <v>383</v>
      </c>
      <c r="J247" s="663"/>
      <c r="K247" s="663"/>
      <c r="L247" s="663"/>
      <c r="M247" s="663"/>
      <c r="N247" s="663"/>
      <c r="O247" s="663"/>
      <c r="P247" s="663"/>
      <c r="Q247" s="663"/>
      <c r="R247" s="663"/>
      <c r="S247" s="663"/>
      <c r="T247" s="663"/>
      <c r="U247" s="663"/>
      <c r="V247" s="663"/>
      <c r="W247" s="663"/>
      <c r="X247" s="663"/>
      <c r="Y247" s="663"/>
      <c r="Z247" s="663"/>
      <c r="AA247" s="663"/>
      <c r="AB247" s="663"/>
      <c r="AC247" s="663"/>
      <c r="AD247" s="663"/>
      <c r="AE247" s="663"/>
      <c r="AF247" s="663"/>
      <c r="AG247" s="663"/>
      <c r="AH247" s="663"/>
    </row>
    <row r="248" ht="15" customHeight="1">
      <c r="A248" s="663">
        <f>A249-72/24</f>
      </c>
      <c r="B248" s="664">
        <v>284</v>
      </c>
      <c r="C248" s="684">
        <f>A247</f>
        <v>-3</v>
      </c>
      <c r="D248" t="s" s="666">
        <f>"Inject "&amp;'Planner Worksheet'!L20&amp;" (PG) to all females at: "</f>
        <v>386</v>
      </c>
      <c r="E248" s="683">
        <f>'Planner Worksheet'!G18</f>
        <v>0.4166666666666666</v>
      </c>
      <c r="F248" s="663"/>
      <c r="G248" s="663"/>
      <c r="H248" t="s" s="666">
        <f>IF('Planner Worksheet'!$G$16=TRUNC(B250/10),IF(I248="","",'Planner Worksheet'!$G$17+C248),"")</f>
      </c>
      <c r="I248" t="s" s="666">
        <f>"* Inject "&amp;'Planner Worksheet'!L20&amp;"- all females"</f>
        <v>335</v>
      </c>
      <c r="J248" s="663"/>
      <c r="K248" s="663"/>
      <c r="L248" s="663"/>
      <c r="M248" s="663"/>
      <c r="N248" s="663"/>
      <c r="O248" s="663"/>
      <c r="P248" s="663"/>
      <c r="Q248" s="663"/>
      <c r="R248" s="663"/>
      <c r="S248" s="663"/>
      <c r="T248" s="663"/>
      <c r="U248" s="663"/>
      <c r="V248" s="663"/>
      <c r="W248" s="663"/>
      <c r="X248" s="663"/>
      <c r="Y248" s="663"/>
      <c r="Z248" s="663"/>
      <c r="AA248" s="663"/>
      <c r="AB248" s="663"/>
      <c r="AC248" s="663"/>
      <c r="AD248" s="663"/>
      <c r="AE248" s="663"/>
      <c r="AF248" s="663"/>
      <c r="AG248" s="663"/>
      <c r="AH248" s="663"/>
    </row>
    <row r="249" ht="15" customHeight="1">
      <c r="A249" s="663">
        <f t="shared" si="107"/>
      </c>
      <c r="B249" s="664">
        <v>285</v>
      </c>
      <c r="C249" s="665">
        <v>0</v>
      </c>
      <c r="D249" t="s" s="666">
        <f>"Inject "&amp;'Planner Worksheet'!L19&amp;" (GnRH) to all females."</f>
        <v>382</v>
      </c>
      <c r="E249" t="s" s="666">
        <v>216</v>
      </c>
      <c r="F249" s="663">
        <f>'Calendar'!D10</f>
      </c>
      <c r="G249" s="663">
        <f>'Calendar'!G10</f>
      </c>
      <c r="H249" t="s" s="666">
        <f>IF('Planner Worksheet'!$G$16=TRUNC(B251/10),IF(I249="","",'Planner Worksheet'!$G$17+C249),"")</f>
      </c>
      <c r="I249" t="s" s="666">
        <f>"** Inject "&amp;'Planner Worksheet'!L19&amp;" &amp; Fixed Time AI (72 hrs after "&amp;'Planner Worksheet'!L20&amp;" )"</f>
        <v>413</v>
      </c>
      <c r="J249" s="663"/>
      <c r="K249" s="663"/>
      <c r="L249" s="663"/>
      <c r="M249" s="663"/>
      <c r="N249" s="663"/>
      <c r="O249" s="663"/>
      <c r="P249" s="663"/>
      <c r="Q249" s="663"/>
      <c r="R249" s="663"/>
      <c r="S249" s="663"/>
      <c r="T249" s="663"/>
      <c r="U249" s="663"/>
      <c r="V249" s="663"/>
      <c r="W249" s="663"/>
      <c r="X249" s="663"/>
      <c r="Y249" s="663"/>
      <c r="Z249" s="663"/>
      <c r="AA249" s="663"/>
      <c r="AB249" s="663"/>
      <c r="AC249" s="663"/>
      <c r="AD249" s="663"/>
      <c r="AE249" s="663"/>
      <c r="AF249" s="663"/>
      <c r="AG249" s="663"/>
      <c r="AH249" s="663"/>
    </row>
    <row r="250" ht="15" customHeight="1">
      <c r="A250" s="663"/>
      <c r="B250" s="664">
        <v>286</v>
      </c>
      <c r="C250" s="665">
        <f>'Planner Worksheet'!G21</f>
        <v>0</v>
      </c>
      <c r="D250" t="s" s="666">
        <v>217</v>
      </c>
      <c r="E250" t="s" s="666">
        <v>203</v>
      </c>
      <c r="F250" s="663"/>
      <c r="G250" s="663"/>
      <c r="H250" t="s" s="666">
        <f>IF('Planner Worksheet'!$G$16=TRUNC(B252/10),IF(I250="","",'Planner Worksheet'!$G$17+C250),"")</f>
      </c>
      <c r="I250" t="s" s="666">
        <v>415</v>
      </c>
      <c r="J250" s="663"/>
      <c r="K250" s="663"/>
      <c r="L250" s="663"/>
      <c r="M250" s="663"/>
      <c r="N250" s="663"/>
      <c r="O250" s="663"/>
      <c r="P250" s="663"/>
      <c r="Q250" s="663"/>
      <c r="R250" s="663"/>
      <c r="S250" s="663"/>
      <c r="T250" s="663"/>
      <c r="U250" s="663"/>
      <c r="V250" s="663"/>
      <c r="W250" s="663"/>
      <c r="X250" s="663"/>
      <c r="Y250" s="663"/>
      <c r="Z250" s="663"/>
      <c r="AA250" s="663"/>
      <c r="AB250" s="663"/>
      <c r="AC250" s="663"/>
      <c r="AD250" s="663"/>
      <c r="AE250" s="663"/>
      <c r="AF250" s="663"/>
      <c r="AG250" s="663"/>
      <c r="AH250" s="663"/>
    </row>
    <row r="251" ht="15" customHeight="1">
      <c r="A251" s="663"/>
      <c r="B251" s="664">
        <v>287</v>
      </c>
      <c r="C251" s="665">
        <v>21</v>
      </c>
      <c r="D251" t="s" s="666">
        <v>218</v>
      </c>
      <c r="E251" s="663"/>
      <c r="F251" s="663"/>
      <c r="G251" s="663"/>
      <c r="H251" s="663">
        <f>21+H249</f>
      </c>
      <c r="I251" t="s" s="666">
        <v>289</v>
      </c>
      <c r="J251" s="663"/>
      <c r="K251" s="663"/>
      <c r="L251" s="663"/>
      <c r="M251" s="663"/>
      <c r="N251" s="663"/>
      <c r="O251" s="663"/>
      <c r="P251" s="663"/>
      <c r="Q251" s="663"/>
      <c r="R251" s="663"/>
      <c r="S251" s="663"/>
      <c r="T251" s="663"/>
      <c r="U251" s="663"/>
      <c r="V251" s="663"/>
      <c r="W251" s="663"/>
      <c r="X251" s="663"/>
      <c r="Y251" s="663"/>
      <c r="Z251" s="663"/>
      <c r="AA251" s="663"/>
      <c r="AB251" s="663"/>
      <c r="AC251" s="663"/>
      <c r="AD251" s="663"/>
      <c r="AE251" s="663"/>
      <c r="AF251" s="663"/>
      <c r="AG251" s="663"/>
      <c r="AH251" s="663"/>
    </row>
    <row r="252" ht="15" customHeight="1">
      <c r="A252" s="663"/>
      <c r="B252" s="664">
        <v>288</v>
      </c>
      <c r="C252" s="665"/>
      <c r="D252" s="663"/>
      <c r="E252" s="663"/>
      <c r="F252" s="663"/>
      <c r="G252" s="663"/>
      <c r="H252" s="663"/>
      <c r="I252" s="663"/>
      <c r="J252" s="663"/>
      <c r="K252" s="663"/>
      <c r="L252" s="663"/>
      <c r="M252" s="663"/>
      <c r="N252" s="663"/>
      <c r="O252" s="663"/>
      <c r="P252" s="663"/>
      <c r="Q252" s="663"/>
      <c r="R252" s="663"/>
      <c r="S252" s="663"/>
      <c r="T252" s="663"/>
      <c r="U252" s="663"/>
      <c r="V252" s="663"/>
      <c r="W252" s="663"/>
      <c r="X252" s="663"/>
      <c r="Y252" s="663"/>
      <c r="Z252" s="663"/>
      <c r="AA252" s="663"/>
      <c r="AB252" s="663"/>
      <c r="AC252" s="663"/>
      <c r="AD252" s="663"/>
      <c r="AE252" s="663"/>
      <c r="AF252" s="663"/>
      <c r="AG252" s="663"/>
      <c r="AH252" s="663"/>
    </row>
    <row r="253" ht="15" customHeight="1">
      <c r="A253" s="668"/>
      <c r="B253" s="669">
        <v>289</v>
      </c>
      <c r="C253" s="670"/>
      <c r="D253" s="668"/>
      <c r="E253" s="668"/>
      <c r="F253" s="668"/>
      <c r="G253" s="668"/>
      <c r="H253" s="668"/>
      <c r="I253" s="668"/>
      <c r="J253" s="668"/>
      <c r="K253" s="668"/>
      <c r="L253" s="668"/>
      <c r="M253" s="668"/>
      <c r="N253" s="668"/>
      <c r="O253" s="668"/>
      <c r="P253" s="668"/>
      <c r="Q253" s="668"/>
      <c r="R253" s="668"/>
      <c r="S253" s="668"/>
      <c r="T253" s="668"/>
      <c r="U253" s="668"/>
      <c r="V253" s="668"/>
      <c r="W253" s="668"/>
      <c r="X253" s="668"/>
      <c r="Y253" s="668"/>
      <c r="Z253" s="668"/>
      <c r="AA253" s="668"/>
      <c r="AB253" s="668"/>
      <c r="AC253" s="668"/>
      <c r="AD253" s="668"/>
      <c r="AE253" s="668"/>
      <c r="AF253" s="668"/>
      <c r="AG253" s="668"/>
      <c r="AH253" s="668"/>
    </row>
    <row r="254" ht="15" customHeight="1">
      <c r="A254" s="691">
        <v>-3</v>
      </c>
      <c r="B254" s="673">
        <v>291</v>
      </c>
      <c r="C254" s="674">
        <v>-8</v>
      </c>
      <c r="D254" t="s" s="675">
        <v>209</v>
      </c>
      <c r="E254" t="s" s="675">
        <f>"Inject "&amp;'Planner Worksheet'!L19&amp;" (GnRH) to all females."</f>
        <v>382</v>
      </c>
      <c r="F254" s="676"/>
      <c r="G254" s="676"/>
      <c r="H254" s="680">
        <f>IF('Planner Worksheet'!$G$16=TRUNC(B254/10),IF(I254="","",'Planner Worksheet'!$G$17+C254),"")</f>
        <v>43443</v>
      </c>
      <c r="I254" t="s" s="675">
        <v>397</v>
      </c>
      <c r="J254" t="s" s="675">
        <f>"* Inject "&amp;'Planner Worksheet'!L19&amp;"  - all females"</f>
        <v>404</v>
      </c>
      <c r="K254" s="676"/>
      <c r="L254" s="676"/>
      <c r="M254" s="676"/>
      <c r="N254" s="676"/>
      <c r="O254" s="676"/>
      <c r="P254" s="676"/>
      <c r="Q254" s="676"/>
      <c r="R254" s="676"/>
      <c r="S254" s="676"/>
      <c r="T254" s="676"/>
      <c r="U254" s="676"/>
      <c r="V254" s="676"/>
      <c r="W254" s="676"/>
      <c r="X254" s="676"/>
      <c r="Y254" s="676"/>
      <c r="Z254" s="676"/>
      <c r="AA254" s="676"/>
      <c r="AB254" s="676"/>
      <c r="AC254" s="676"/>
      <c r="AD254" s="676"/>
      <c r="AE254" s="676"/>
      <c r="AF254" s="676"/>
      <c r="AG254" s="676"/>
      <c r="AH254" s="676"/>
    </row>
    <row r="255" ht="15" customHeight="1">
      <c r="A255" s="663">
        <f>A256-72/24</f>
      </c>
      <c r="B255" s="664">
        <v>292</v>
      </c>
      <c r="C255" s="684">
        <f>A254</f>
        <v>-3</v>
      </c>
      <c r="D255" t="s" s="666">
        <v>212</v>
      </c>
      <c r="E255" t="s" s="666">
        <f>"Inject "&amp;'Planner Worksheet'!L20&amp;" (PG) to all females at: "</f>
        <v>386</v>
      </c>
      <c r="F255" s="683">
        <f>'Planner Worksheet'!G18</f>
        <v>0.4166666666666666</v>
      </c>
      <c r="G255" t="s" s="666">
        <v>214</v>
      </c>
      <c r="H255" s="667">
        <f>IF('Planner Worksheet'!$G$16=TRUNC(B255/10),IF(I255="","",'Planner Worksheet'!$G$17+C255),"")</f>
        <v>43448</v>
      </c>
      <c r="I255" t="s" s="666">
        <f>"* Remove CIDRs &amp; inject "&amp;'Planner Worksheet'!L20</f>
        <v>416</v>
      </c>
      <c r="J255" t="s" s="666">
        <f>"* 8 hrs later give 2nd "&amp;'Planner Worksheet'!L20&amp;"  injection"</f>
        <v>417</v>
      </c>
      <c r="K255" s="663"/>
      <c r="L255" s="663"/>
      <c r="M255" s="663"/>
      <c r="N255" s="663"/>
      <c r="O255" s="663"/>
      <c r="P255" s="663"/>
      <c r="Q255" s="663"/>
      <c r="R255" s="663"/>
      <c r="S255" s="663"/>
      <c r="T255" s="663"/>
      <c r="U255" s="663"/>
      <c r="V255" s="663"/>
      <c r="W255" s="663"/>
      <c r="X255" s="663"/>
      <c r="Y255" s="663"/>
      <c r="Z255" s="663"/>
      <c r="AA255" s="663"/>
      <c r="AB255" s="663"/>
      <c r="AC255" s="663"/>
      <c r="AD255" s="663"/>
      <c r="AE255" s="663"/>
      <c r="AF255" s="663"/>
      <c r="AG255" s="663"/>
      <c r="AH255" s="663"/>
    </row>
    <row r="256" ht="15" customHeight="1">
      <c r="A256" s="663">
        <f t="shared" si="107"/>
      </c>
      <c r="B256" s="664">
        <v>293</v>
      </c>
      <c r="C256" s="665">
        <v>0</v>
      </c>
      <c r="D256" t="s" s="666">
        <f>"Inject "&amp;'Planner Worksheet'!L19&amp;" (GnRH) to all females."</f>
        <v>382</v>
      </c>
      <c r="E256" t="s" s="666">
        <v>216</v>
      </c>
      <c r="F256" s="663">
        <f>'Calendar'!D10</f>
      </c>
      <c r="G256" s="663">
        <f>'Calendar'!G10</f>
      </c>
      <c r="H256" s="667">
        <f>IF('Planner Worksheet'!$G$16=TRUNC(B256/10),IF(I256="","",'Planner Worksheet'!$G$17+C256),"")</f>
        <v>43451</v>
      </c>
      <c r="I256" t="s" s="666">
        <f>"** Inject "&amp;'Planner Worksheet'!L19&amp;" &amp; Fixed Time AI (72 hrs after 1st "&amp;'Planner Worksheet'!L20&amp;" injection)"</f>
        <v>418</v>
      </c>
      <c r="J256" s="663"/>
      <c r="K256" s="663"/>
      <c r="L256" s="663"/>
      <c r="M256" s="663"/>
      <c r="N256" s="663"/>
      <c r="O256" s="663"/>
      <c r="P256" s="663"/>
      <c r="Q256" s="663"/>
      <c r="R256" s="663"/>
      <c r="S256" s="663"/>
      <c r="T256" s="663"/>
      <c r="U256" s="663"/>
      <c r="V256" s="663"/>
      <c r="W256" s="663"/>
      <c r="X256" s="663"/>
      <c r="Y256" s="663"/>
      <c r="Z256" s="663"/>
      <c r="AA256" s="663"/>
      <c r="AB256" s="663"/>
      <c r="AC256" s="663"/>
      <c r="AD256" s="663"/>
      <c r="AE256" s="663"/>
      <c r="AF256" s="663"/>
      <c r="AG256" s="663"/>
      <c r="AH256" s="663"/>
    </row>
    <row r="257" ht="15" customHeight="1">
      <c r="A257" s="663"/>
      <c r="B257" s="664">
        <v>294</v>
      </c>
      <c r="C257" s="665">
        <f>'Planner Worksheet'!G21</f>
        <v>0</v>
      </c>
      <c r="D257" t="s" s="666">
        <v>217</v>
      </c>
      <c r="E257" t="s" s="666">
        <v>203</v>
      </c>
      <c r="F257" s="663"/>
      <c r="G257" s="663"/>
      <c r="H257" s="667">
        <f>IF('Planner Worksheet'!$G$16=TRUNC(B257/10),IF(I257="","",'Planner Worksheet'!$G$17+C257),"")</f>
        <v>43451</v>
      </c>
      <c r="I257" t="s" s="666">
        <v>283</v>
      </c>
      <c r="J257" s="663"/>
      <c r="K257" s="663"/>
      <c r="L257" s="663"/>
      <c r="M257" s="663"/>
      <c r="N257" s="663"/>
      <c r="O257" s="663"/>
      <c r="P257" s="663"/>
      <c r="Q257" s="663"/>
      <c r="R257" s="663"/>
      <c r="S257" s="663"/>
      <c r="T257" s="663"/>
      <c r="U257" s="663"/>
      <c r="V257" s="663"/>
      <c r="W257" s="663"/>
      <c r="X257" s="663"/>
      <c r="Y257" s="663"/>
      <c r="Z257" s="663"/>
      <c r="AA257" s="663"/>
      <c r="AB257" s="663"/>
      <c r="AC257" s="663"/>
      <c r="AD257" s="663"/>
      <c r="AE257" s="663"/>
      <c r="AF257" s="663"/>
      <c r="AG257" s="663"/>
      <c r="AH257" s="663"/>
    </row>
    <row r="258" ht="15" customHeight="1">
      <c r="A258" s="663"/>
      <c r="B258" s="664">
        <v>295</v>
      </c>
      <c r="C258" s="665">
        <v>21</v>
      </c>
      <c r="D258" t="s" s="666">
        <v>218</v>
      </c>
      <c r="E258" s="663"/>
      <c r="F258" s="663"/>
      <c r="G258" s="663"/>
      <c r="H258" s="667">
        <f>21+H256</f>
        <v>43472</v>
      </c>
      <c r="I258" t="s" s="666">
        <v>289</v>
      </c>
      <c r="J258" s="663"/>
      <c r="K258" s="663"/>
      <c r="L258" s="663"/>
      <c r="M258" s="663"/>
      <c r="N258" s="663"/>
      <c r="O258" s="663"/>
      <c r="P258" s="663"/>
      <c r="Q258" s="663"/>
      <c r="R258" s="663"/>
      <c r="S258" s="663"/>
      <c r="T258" s="663"/>
      <c r="U258" s="663"/>
      <c r="V258" s="663"/>
      <c r="W258" s="663"/>
      <c r="X258" s="663"/>
      <c r="Y258" s="663"/>
      <c r="Z258" s="663"/>
      <c r="AA258" s="663"/>
      <c r="AB258" s="663"/>
      <c r="AC258" s="663"/>
      <c r="AD258" s="663"/>
      <c r="AE258" s="663"/>
      <c r="AF258" s="663"/>
      <c r="AG258" s="663"/>
      <c r="AH258" s="663"/>
    </row>
    <row r="259" ht="15" customHeight="1">
      <c r="A259" s="663"/>
      <c r="B259" s="664">
        <v>296</v>
      </c>
      <c r="C259" s="665"/>
      <c r="D259" s="663"/>
      <c r="E259" s="663"/>
      <c r="F259" s="663"/>
      <c r="G259" s="663"/>
      <c r="H259" s="663"/>
      <c r="I259" s="663"/>
      <c r="J259" s="663"/>
      <c r="K259" s="663"/>
      <c r="L259" s="663"/>
      <c r="M259" s="663"/>
      <c r="N259" s="663"/>
      <c r="O259" s="663"/>
      <c r="P259" s="663"/>
      <c r="Q259" s="663"/>
      <c r="R259" s="663"/>
      <c r="S259" s="663"/>
      <c r="T259" s="663"/>
      <c r="U259" s="663"/>
      <c r="V259" s="663"/>
      <c r="W259" s="663"/>
      <c r="X259" s="663"/>
      <c r="Y259" s="663"/>
      <c r="Z259" s="663"/>
      <c r="AA259" s="663"/>
      <c r="AB259" s="663"/>
      <c r="AC259" s="663"/>
      <c r="AD259" s="663"/>
      <c r="AE259" s="663"/>
      <c r="AF259" s="663"/>
      <c r="AG259" s="663"/>
      <c r="AH259" s="663"/>
    </row>
    <row r="260" ht="15" customHeight="1">
      <c r="A260" s="663"/>
      <c r="B260" s="664">
        <v>297</v>
      </c>
      <c r="C260" s="665"/>
      <c r="D260" s="663"/>
      <c r="E260" s="663"/>
      <c r="F260" s="663"/>
      <c r="G260" s="663"/>
      <c r="H260" s="663"/>
      <c r="I260" s="663"/>
      <c r="J260" s="663"/>
      <c r="K260" s="663"/>
      <c r="L260" s="663"/>
      <c r="M260" s="663"/>
      <c r="N260" s="663"/>
      <c r="O260" s="663"/>
      <c r="P260" s="663"/>
      <c r="Q260" s="663"/>
      <c r="R260" s="663"/>
      <c r="S260" s="663"/>
      <c r="T260" s="663"/>
      <c r="U260" s="663"/>
      <c r="V260" s="663"/>
      <c r="W260" s="663"/>
      <c r="X260" s="663"/>
      <c r="Y260" s="663"/>
      <c r="Z260" s="663"/>
      <c r="AA260" s="663"/>
      <c r="AB260" s="663"/>
      <c r="AC260" s="663"/>
      <c r="AD260" s="663"/>
      <c r="AE260" s="663"/>
      <c r="AF260" s="663"/>
      <c r="AG260" s="663"/>
      <c r="AH260" s="663"/>
    </row>
    <row r="261" ht="15" customHeight="1">
      <c r="A261" s="663"/>
      <c r="B261" s="664">
        <v>298</v>
      </c>
      <c r="C261" s="665"/>
      <c r="D261" s="663"/>
      <c r="E261" s="663"/>
      <c r="F261" s="663"/>
      <c r="G261" s="663"/>
      <c r="H261" s="663"/>
      <c r="I261" s="663"/>
      <c r="J261" s="663"/>
      <c r="K261" s="663"/>
      <c r="L261" s="663"/>
      <c r="M261" s="663"/>
      <c r="N261" s="663"/>
      <c r="O261" s="663"/>
      <c r="P261" s="663"/>
      <c r="Q261" s="663"/>
      <c r="R261" s="663"/>
      <c r="S261" s="663"/>
      <c r="T261" s="663"/>
      <c r="U261" s="663"/>
      <c r="V261" s="663"/>
      <c r="W261" s="663"/>
      <c r="X261" s="663"/>
      <c r="Y261" s="663"/>
      <c r="Z261" s="663"/>
      <c r="AA261" s="663"/>
      <c r="AB261" s="663"/>
      <c r="AC261" s="663"/>
      <c r="AD261" s="663"/>
      <c r="AE261" s="663"/>
      <c r="AF261" s="663"/>
      <c r="AG261" s="663"/>
      <c r="AH261" s="663"/>
    </row>
    <row r="262" ht="15" customHeight="1">
      <c r="A262" s="668"/>
      <c r="B262" s="669">
        <v>299</v>
      </c>
      <c r="C262" s="670"/>
      <c r="D262" s="668"/>
      <c r="E262" s="668"/>
      <c r="F262" s="668"/>
      <c r="G262" s="668"/>
      <c r="H262" s="668"/>
      <c r="I262" s="668"/>
      <c r="J262" s="668"/>
      <c r="K262" s="668"/>
      <c r="L262" s="668"/>
      <c r="M262" s="668"/>
      <c r="N262" s="668"/>
      <c r="O262" s="668"/>
      <c r="P262" s="668"/>
      <c r="Q262" s="668"/>
      <c r="R262" s="668"/>
      <c r="S262" s="668"/>
      <c r="T262" s="668"/>
      <c r="U262" s="668"/>
      <c r="V262" s="668"/>
      <c r="W262" s="668"/>
      <c r="X262" s="668"/>
      <c r="Y262" s="668"/>
      <c r="Z262" s="668"/>
      <c r="AA262" s="668"/>
      <c r="AB262" s="668"/>
      <c r="AC262" s="668"/>
      <c r="AD262" s="668"/>
      <c r="AE262" s="668"/>
      <c r="AF262" s="668"/>
      <c r="AG262" s="668"/>
      <c r="AH262" s="668"/>
    </row>
    <row r="263" ht="15" customHeight="1">
      <c r="A263" t="s" s="675">
        <f>H265</f>
      </c>
      <c r="B263" s="673">
        <v>301</v>
      </c>
      <c r="C263" s="674">
        <v>-30</v>
      </c>
      <c r="D263" t="s" s="675">
        <v>209</v>
      </c>
      <c r="E263" s="676"/>
      <c r="F263" s="676"/>
      <c r="G263" s="676"/>
      <c r="H263" t="s" s="675">
        <f>IF('Planner Worksheet'!$G$16=TRUNC(B263/10),IF(I263="","",'Planner Worksheet'!$G$17+C263),"")</f>
      </c>
      <c r="I263" t="s" s="675">
        <v>397</v>
      </c>
      <c r="J263" s="676"/>
      <c r="K263" s="676"/>
      <c r="L263" s="676"/>
      <c r="M263" s="676"/>
      <c r="N263" s="676"/>
      <c r="O263" s="676"/>
      <c r="P263" s="676"/>
      <c r="Q263" s="676"/>
      <c r="R263" s="676"/>
      <c r="S263" s="676"/>
      <c r="T263" s="676"/>
      <c r="U263" s="676"/>
      <c r="V263" s="676"/>
      <c r="W263" s="676"/>
      <c r="X263" s="676"/>
      <c r="Y263" s="676"/>
      <c r="Z263" s="676"/>
      <c r="AA263" s="676"/>
      <c r="AB263" s="676"/>
      <c r="AC263" s="676"/>
      <c r="AD263" s="676"/>
      <c r="AE263" s="676"/>
      <c r="AF263" s="676"/>
      <c r="AG263" s="676"/>
      <c r="AH263" s="676"/>
    </row>
    <row r="264" ht="15" customHeight="1">
      <c r="A264" s="663"/>
      <c r="B264" s="664">
        <v>302</v>
      </c>
      <c r="C264" s="665">
        <v>-16</v>
      </c>
      <c r="D264" t="s" s="666">
        <v>212</v>
      </c>
      <c r="E264" s="663"/>
      <c r="F264" s="683"/>
      <c r="G264" s="663"/>
      <c r="H264" t="s" s="666">
        <f>IF('Planner Worksheet'!$G$16=TRUNC(B264/10),IF(I264="","",'Planner Worksheet'!$G$17+C264),"")</f>
      </c>
      <c r="I264" t="s" s="666">
        <v>419</v>
      </c>
      <c r="J264" s="663"/>
      <c r="K264" s="663"/>
      <c r="L264" s="663"/>
      <c r="M264" s="663"/>
      <c r="N264" s="663"/>
      <c r="O264" s="663"/>
      <c r="P264" s="663"/>
      <c r="Q264" s="663"/>
      <c r="R264" s="663"/>
      <c r="S264" s="663"/>
      <c r="T264" s="663"/>
      <c r="U264" s="663"/>
      <c r="V264" s="663"/>
      <c r="W264" s="663"/>
      <c r="X264" s="663"/>
      <c r="Y264" s="663"/>
      <c r="Z264" s="663"/>
      <c r="AA264" s="663"/>
      <c r="AB264" s="663"/>
      <c r="AC264" s="663"/>
      <c r="AD264" s="663"/>
      <c r="AE264" s="663"/>
      <c r="AF264" s="663"/>
      <c r="AG264" s="663"/>
      <c r="AH264" s="663"/>
    </row>
    <row r="265" ht="15" customHeight="1">
      <c r="A265" s="663"/>
      <c r="B265" s="664">
        <v>303</v>
      </c>
      <c r="C265" s="665">
        <v>0</v>
      </c>
      <c r="D265" t="s" s="666">
        <f>"Inject "&amp;'Planner Worksheet'!L20&amp;" (PG) to all females at: "</f>
        <v>386</v>
      </c>
      <c r="E265" s="683">
        <f>'Planner Worksheet'!G18</f>
        <v>0.4166666666666666</v>
      </c>
      <c r="F265" t="s" s="666">
        <v>257</v>
      </c>
      <c r="G265" t="s" s="666">
        <v>258</v>
      </c>
      <c r="H265" t="s" s="666">
        <f>IF('Planner Worksheet'!$G$16=TRUNC(B265/10),IF(I265="","",'Planner Worksheet'!$G$17+C265),"")</f>
      </c>
      <c r="I265" t="s" s="666">
        <f>"* Inject "&amp;'Planner Worksheet'!L20&amp;"- all females"</f>
        <v>335</v>
      </c>
      <c r="J265" s="663"/>
      <c r="K265" s="663"/>
      <c r="L265" s="663"/>
      <c r="M265" s="663"/>
      <c r="N265" s="663"/>
      <c r="O265" s="663"/>
      <c r="P265" s="663"/>
      <c r="Q265" s="663"/>
      <c r="R265" s="663"/>
      <c r="S265" s="663"/>
      <c r="T265" s="663"/>
      <c r="U265" s="663"/>
      <c r="V265" s="663"/>
      <c r="W265" s="663"/>
      <c r="X265" s="663"/>
      <c r="Y265" s="663"/>
      <c r="Z265" s="663"/>
      <c r="AA265" s="663"/>
      <c r="AB265" s="663"/>
      <c r="AC265" s="663"/>
      <c r="AD265" s="663"/>
      <c r="AE265" s="663"/>
      <c r="AF265" s="663"/>
      <c r="AG265" s="663"/>
      <c r="AH265" s="663"/>
    </row>
    <row r="266" ht="15" customHeight="1">
      <c r="A266" s="663"/>
      <c r="B266" s="664">
        <v>304</v>
      </c>
      <c r="C266" s="665">
        <v>6</v>
      </c>
      <c r="D266" t="s" s="666">
        <v>276</v>
      </c>
      <c r="E266" t="s" s="666">
        <v>277</v>
      </c>
      <c r="F266" s="663"/>
      <c r="G266" s="663"/>
      <c r="H266" t="s" s="666">
        <f>IF('Planner Worksheet'!$G$16=TRUNC(B266/10),IF(I267="","",'Planner Worksheet'!$G$17+C266),"")</f>
      </c>
      <c r="I266" s="663"/>
      <c r="J266" s="663"/>
      <c r="K266" s="663"/>
      <c r="L266" s="663"/>
      <c r="M266" s="663"/>
      <c r="N266" s="663"/>
      <c r="O266" s="663"/>
      <c r="P266" s="663"/>
      <c r="Q266" s="663"/>
      <c r="R266" s="663"/>
      <c r="S266" s="663"/>
      <c r="T266" s="663"/>
      <c r="U266" s="663"/>
      <c r="V266" s="663"/>
      <c r="W266" s="663"/>
      <c r="X266" s="663"/>
      <c r="Y266" s="663"/>
      <c r="Z266" s="663"/>
      <c r="AA266" s="663"/>
      <c r="AB266" s="663"/>
      <c r="AC266" s="663"/>
      <c r="AD266" s="663"/>
      <c r="AE266" s="663"/>
      <c r="AF266" s="663"/>
      <c r="AG266" s="663"/>
      <c r="AH266" s="663"/>
    </row>
    <row r="267" ht="15" customHeight="1">
      <c r="A267" s="663"/>
      <c r="B267" s="664">
        <v>305</v>
      </c>
      <c r="C267" s="665">
        <f>'Planner Worksheet'!G21+C266</f>
        <v>6</v>
      </c>
      <c r="D267" t="s" s="666">
        <v>217</v>
      </c>
      <c r="E267" t="s" s="666">
        <v>203</v>
      </c>
      <c r="F267" s="663"/>
      <c r="G267" s="663"/>
      <c r="H267" t="s" s="666">
        <f>IF('Planner Worksheet'!$G$16=TRUNC(B267/10),IF(I267="","",'Planner Worksheet'!$G$17+C267),"")</f>
      </c>
      <c r="I267" t="s" s="666">
        <v>283</v>
      </c>
      <c r="J267" s="663"/>
      <c r="K267" s="663"/>
      <c r="L267" s="663"/>
      <c r="M267" s="663"/>
      <c r="N267" s="663"/>
      <c r="O267" s="663"/>
      <c r="P267" s="663"/>
      <c r="Q267" s="663"/>
      <c r="R267" s="663"/>
      <c r="S267" s="663"/>
      <c r="T267" s="663"/>
      <c r="U267" s="663"/>
      <c r="V267" s="663"/>
      <c r="W267" s="663"/>
      <c r="X267" s="663"/>
      <c r="Y267" s="663"/>
      <c r="Z267" s="663"/>
      <c r="AA267" s="663"/>
      <c r="AB267" s="663"/>
      <c r="AC267" s="663"/>
      <c r="AD267" s="663"/>
      <c r="AE267" s="663"/>
      <c r="AF267" s="663"/>
      <c r="AG267" s="663"/>
      <c r="AH267" s="663"/>
    </row>
    <row r="268" ht="15" customHeight="1">
      <c r="A268" s="663"/>
      <c r="B268" s="664">
        <v>306</v>
      </c>
      <c r="C268" s="665">
        <v>23</v>
      </c>
      <c r="D268" t="s" s="666">
        <v>218</v>
      </c>
      <c r="E268" s="663"/>
      <c r="F268" s="663"/>
      <c r="G268" s="663"/>
      <c r="H268" s="663">
        <f>23+H265</f>
      </c>
      <c r="I268" t="s" s="666">
        <v>289</v>
      </c>
      <c r="J268" s="663"/>
      <c r="K268" s="663"/>
      <c r="L268" s="663"/>
      <c r="M268" s="663"/>
      <c r="N268" s="663"/>
      <c r="O268" s="663"/>
      <c r="P268" s="663"/>
      <c r="Q268" s="663"/>
      <c r="R268" s="663"/>
      <c r="S268" s="663"/>
      <c r="T268" s="663"/>
      <c r="U268" s="663"/>
      <c r="V268" s="663"/>
      <c r="W268" s="663"/>
      <c r="X268" s="663"/>
      <c r="Y268" s="663"/>
      <c r="Z268" s="663"/>
      <c r="AA268" s="663"/>
      <c r="AB268" s="663"/>
      <c r="AC268" s="663"/>
      <c r="AD268" s="663"/>
      <c r="AE268" s="663"/>
      <c r="AF268" s="663"/>
      <c r="AG268" s="663"/>
      <c r="AH268" s="663"/>
    </row>
    <row r="269" ht="15" customHeight="1">
      <c r="A269" s="663"/>
      <c r="B269" s="664">
        <v>307</v>
      </c>
      <c r="C269" s="665"/>
      <c r="D269" s="663"/>
      <c r="E269" s="663"/>
      <c r="F269" s="663"/>
      <c r="G269" s="663"/>
      <c r="H269" s="663"/>
      <c r="I269" s="663"/>
      <c r="J269" s="663"/>
      <c r="K269" s="663"/>
      <c r="L269" s="663"/>
      <c r="M269" s="663"/>
      <c r="N269" s="663"/>
      <c r="O269" s="663"/>
      <c r="P269" s="663"/>
      <c r="Q269" s="663"/>
      <c r="R269" s="663"/>
      <c r="S269" s="663"/>
      <c r="T269" s="663"/>
      <c r="U269" s="663"/>
      <c r="V269" s="663"/>
      <c r="W269" s="663"/>
      <c r="X269" s="663"/>
      <c r="Y269" s="663"/>
      <c r="Z269" s="663"/>
      <c r="AA269" s="663"/>
      <c r="AB269" s="663"/>
      <c r="AC269" s="663"/>
      <c r="AD269" s="663"/>
      <c r="AE269" s="663"/>
      <c r="AF269" s="663"/>
      <c r="AG269" s="663"/>
      <c r="AH269" s="663"/>
    </row>
    <row r="270" ht="15" customHeight="1">
      <c r="A270" s="663"/>
      <c r="B270" s="664">
        <v>308</v>
      </c>
      <c r="C270" s="665"/>
      <c r="D270" s="663"/>
      <c r="E270" s="663"/>
      <c r="F270" s="663"/>
      <c r="G270" s="663"/>
      <c r="H270" s="663"/>
      <c r="I270" s="663"/>
      <c r="J270" s="663"/>
      <c r="K270" s="663"/>
      <c r="L270" s="663"/>
      <c r="M270" s="663"/>
      <c r="N270" s="663"/>
      <c r="O270" s="663"/>
      <c r="P270" s="663"/>
      <c r="Q270" s="663"/>
      <c r="R270" s="663"/>
      <c r="S270" s="663"/>
      <c r="T270" s="663"/>
      <c r="U270" s="663"/>
      <c r="V270" s="663"/>
      <c r="W270" s="663"/>
      <c r="X270" s="663"/>
      <c r="Y270" s="663"/>
      <c r="Z270" s="663"/>
      <c r="AA270" s="663"/>
      <c r="AB270" s="663"/>
      <c r="AC270" s="663"/>
      <c r="AD270" s="663"/>
      <c r="AE270" s="663"/>
      <c r="AF270" s="663"/>
      <c r="AG270" s="663"/>
      <c r="AH270" s="663"/>
    </row>
    <row r="271" ht="15" customHeight="1">
      <c r="A271" s="668"/>
      <c r="B271" s="669">
        <v>309</v>
      </c>
      <c r="C271" s="670"/>
      <c r="D271" s="668"/>
      <c r="E271" s="668"/>
      <c r="F271" s="668"/>
      <c r="G271" s="668"/>
      <c r="H271" s="668"/>
      <c r="I271" s="668"/>
      <c r="J271" s="668"/>
      <c r="K271" s="668"/>
      <c r="L271" s="668"/>
      <c r="M271" s="668"/>
      <c r="N271" s="668"/>
      <c r="O271" s="668"/>
      <c r="P271" s="668"/>
      <c r="Q271" s="668"/>
      <c r="R271" s="668"/>
      <c r="S271" s="668"/>
      <c r="T271" s="668"/>
      <c r="U271" s="668"/>
      <c r="V271" s="668"/>
      <c r="W271" s="668"/>
      <c r="X271" s="668"/>
      <c r="Y271" s="668"/>
      <c r="Z271" s="668"/>
      <c r="AA271" s="668"/>
      <c r="AB271" s="668"/>
      <c r="AC271" s="668"/>
      <c r="AD271" s="668"/>
      <c r="AE271" s="668"/>
      <c r="AF271" s="668"/>
      <c r="AG271" s="668"/>
      <c r="AH271" s="668"/>
    </row>
    <row r="272" ht="15" customHeight="1">
      <c r="A272" t="s" s="675">
        <f>H274</f>
      </c>
      <c r="B272" s="673">
        <v>311</v>
      </c>
      <c r="C272" s="674">
        <v>-30</v>
      </c>
      <c r="D272" t="s" s="675">
        <v>209</v>
      </c>
      <c r="E272" s="676"/>
      <c r="F272" s="676"/>
      <c r="G272" s="676"/>
      <c r="H272" t="s" s="675">
        <f>IF('Planner Worksheet'!$G$16=TRUNC(B272/10),IF(I272="","",'Planner Worksheet'!$G$17+C272),"")</f>
      </c>
      <c r="I272" t="s" s="675">
        <v>397</v>
      </c>
      <c r="J272" s="676"/>
      <c r="K272" s="676"/>
      <c r="L272" s="676"/>
      <c r="M272" s="676"/>
      <c r="N272" s="676"/>
      <c r="O272" s="676"/>
      <c r="P272" s="676"/>
      <c r="Q272" s="676"/>
      <c r="R272" s="676"/>
      <c r="S272" s="676"/>
      <c r="T272" s="676"/>
      <c r="U272" s="676"/>
      <c r="V272" s="676"/>
      <c r="W272" s="676"/>
      <c r="X272" s="676"/>
      <c r="Y272" s="676"/>
      <c r="Z272" s="676"/>
      <c r="AA272" s="676"/>
      <c r="AB272" s="676"/>
      <c r="AC272" s="676"/>
      <c r="AD272" s="676"/>
      <c r="AE272" s="676"/>
      <c r="AF272" s="676"/>
      <c r="AG272" s="676"/>
      <c r="AH272" s="676"/>
    </row>
    <row r="273" ht="15" customHeight="1">
      <c r="A273" s="663"/>
      <c r="B273" s="664">
        <v>312</v>
      </c>
      <c r="C273" s="665">
        <v>-16</v>
      </c>
      <c r="D273" t="s" s="666">
        <v>212</v>
      </c>
      <c r="E273" s="663"/>
      <c r="F273" s="683"/>
      <c r="G273" s="663"/>
      <c r="H273" t="s" s="666">
        <f>IF('Planner Worksheet'!$G$16=TRUNC(B273/10),IF(I273="","",'Planner Worksheet'!$G$17+C273),"")</f>
      </c>
      <c r="I273" t="s" s="666">
        <v>419</v>
      </c>
      <c r="J273" s="663"/>
      <c r="K273" s="663"/>
      <c r="L273" s="663"/>
      <c r="M273" s="663"/>
      <c r="N273" s="663"/>
      <c r="O273" s="663"/>
      <c r="P273" s="663"/>
      <c r="Q273" s="663"/>
      <c r="R273" s="663"/>
      <c r="S273" s="663"/>
      <c r="T273" s="663"/>
      <c r="U273" s="663"/>
      <c r="V273" s="663"/>
      <c r="W273" s="663"/>
      <c r="X273" s="663"/>
      <c r="Y273" s="663"/>
      <c r="Z273" s="663"/>
      <c r="AA273" s="663"/>
      <c r="AB273" s="663"/>
      <c r="AC273" s="663"/>
      <c r="AD273" s="663"/>
      <c r="AE273" s="663"/>
      <c r="AF273" s="663"/>
      <c r="AG273" s="663"/>
      <c r="AH273" s="663"/>
    </row>
    <row r="274" ht="15" customHeight="1">
      <c r="A274" s="663">
        <f>'Planner Worksheet'!G17+'Planner Worksheet'!G18</f>
      </c>
      <c r="B274" s="664">
        <v>313</v>
      </c>
      <c r="C274" s="665">
        <v>0</v>
      </c>
      <c r="D274" t="s" s="666">
        <f>"Inject "&amp;'Planner Worksheet'!L20&amp;" (PG) to all females at: "</f>
        <v>386</v>
      </c>
      <c r="E274" s="687">
        <f>'Planner Worksheet'!G18</f>
        <v>0.4166666666666666</v>
      </c>
      <c r="F274" t="s" s="666">
        <v>257</v>
      </c>
      <c r="G274" t="s" s="666">
        <v>258</v>
      </c>
      <c r="H274" t="s" s="666">
        <f>IF('Planner Worksheet'!$G$16=TRUNC(B274/10),IF(I274="","",'Planner Worksheet'!$G$17+C274),"")</f>
      </c>
      <c r="I274" t="s" s="666">
        <f>"* Inject "&amp;'Planner Worksheet'!L20&amp;"- all females"</f>
        <v>335</v>
      </c>
      <c r="J274" s="663"/>
      <c r="K274" s="663"/>
      <c r="L274" s="663"/>
      <c r="M274" s="663"/>
      <c r="N274" s="663"/>
      <c r="O274" s="663"/>
      <c r="P274" s="663"/>
      <c r="Q274" s="663"/>
      <c r="R274" s="663"/>
      <c r="S274" s="663"/>
      <c r="T274" s="663"/>
      <c r="U274" s="663"/>
      <c r="V274" s="663"/>
      <c r="W274" s="663"/>
      <c r="X274" s="663"/>
      <c r="Y274" s="663"/>
      <c r="Z274" s="663"/>
      <c r="AA274" s="663"/>
      <c r="AB274" s="663"/>
      <c r="AC274" s="663"/>
      <c r="AD274" s="663"/>
      <c r="AE274" s="663"/>
      <c r="AF274" s="663"/>
      <c r="AG274" s="663"/>
      <c r="AH274" s="663"/>
    </row>
    <row r="275" ht="15" customHeight="1">
      <c r="A275" s="663"/>
      <c r="B275" s="664">
        <v>314</v>
      </c>
      <c r="C275" s="665">
        <v>3</v>
      </c>
      <c r="D275" t="s" s="666">
        <v>276</v>
      </c>
      <c r="E275" t="s" s="666">
        <f>"For females not detected in heat, inject "&amp;'Planner Worksheet'!L19&amp;" (GnRH) &amp; inseminate between the hours:"</f>
        <v>387</v>
      </c>
      <c r="F275" s="663">
        <f>A274+2+TIME(22,0,0)</f>
      </c>
      <c r="G275" s="663">
        <f>A274+3+TIME(2,0,0)</f>
      </c>
      <c r="H275" t="s" s="666">
        <f>IF('Planner Worksheet'!$G$16=TRUNC(B275/10),IF(I276="","",'Planner Worksheet'!$G$17+C275),"")</f>
      </c>
      <c r="I275" t="s" s="666">
        <f>"** Inject "&amp;'Planner Worksheet'!L19&amp;" &amp; Clean-up AI (70-74 hrs after "&amp;'Planner Worksheet'!L20&amp;" )"</f>
        <v>420</v>
      </c>
      <c r="J275" s="663"/>
      <c r="K275" s="663"/>
      <c r="L275" s="663"/>
      <c r="M275" s="663"/>
      <c r="N275" s="663"/>
      <c r="O275" s="663"/>
      <c r="P275" s="663"/>
      <c r="Q275" s="663"/>
      <c r="R275" s="663"/>
      <c r="S275" s="663"/>
      <c r="T275" s="663"/>
      <c r="U275" s="663"/>
      <c r="V275" s="663"/>
      <c r="W275" s="663"/>
      <c r="X275" s="663"/>
      <c r="Y275" s="663"/>
      <c r="Z275" s="663"/>
      <c r="AA275" s="663"/>
      <c r="AB275" s="663"/>
      <c r="AC275" s="663"/>
      <c r="AD275" s="663"/>
      <c r="AE275" s="663"/>
      <c r="AF275" s="663"/>
      <c r="AG275" s="663"/>
      <c r="AH275" s="663"/>
    </row>
    <row r="276" ht="15" customHeight="1">
      <c r="A276" s="663"/>
      <c r="B276" s="664">
        <v>315</v>
      </c>
      <c r="C276" s="665">
        <f>'Planner Worksheet'!G21+C275</f>
        <v>3</v>
      </c>
      <c r="D276" t="s" s="666">
        <v>217</v>
      </c>
      <c r="E276" t="s" s="666">
        <v>203</v>
      </c>
      <c r="F276" s="663"/>
      <c r="G276" s="663"/>
      <c r="H276" t="s" s="666">
        <f>IF('Planner Worksheet'!$G$16=TRUNC(B276/10),IF(I276="","",'Planner Worksheet'!$G$17+C276),"")</f>
      </c>
      <c r="I276" t="s" s="666">
        <v>283</v>
      </c>
      <c r="J276" s="663"/>
      <c r="K276" s="663"/>
      <c r="L276" s="663"/>
      <c r="M276" s="663"/>
      <c r="N276" s="663"/>
      <c r="O276" s="663"/>
      <c r="P276" s="663"/>
      <c r="Q276" s="663"/>
      <c r="R276" s="663"/>
      <c r="S276" s="663"/>
      <c r="T276" s="663"/>
      <c r="U276" s="663"/>
      <c r="V276" s="663"/>
      <c r="W276" s="663"/>
      <c r="X276" s="663"/>
      <c r="Y276" s="663"/>
      <c r="Z276" s="663"/>
      <c r="AA276" s="663"/>
      <c r="AB276" s="663"/>
      <c r="AC276" s="663"/>
      <c r="AD276" s="663"/>
      <c r="AE276" s="663"/>
      <c r="AF276" s="663"/>
      <c r="AG276" s="663"/>
      <c r="AH276" s="663"/>
    </row>
    <row r="277" ht="15" customHeight="1">
      <c r="A277" s="663"/>
      <c r="B277" s="664">
        <v>316</v>
      </c>
      <c r="C277" s="665">
        <v>23</v>
      </c>
      <c r="D277" t="s" s="666">
        <v>218</v>
      </c>
      <c r="E277" s="663"/>
      <c r="F277" s="663"/>
      <c r="G277" s="663"/>
      <c r="H277" s="663">
        <f>23+H274</f>
      </c>
      <c r="I277" t="s" s="666">
        <v>289</v>
      </c>
      <c r="J277" s="663"/>
      <c r="K277" s="663"/>
      <c r="L277" s="663"/>
      <c r="M277" s="663"/>
      <c r="N277" s="663"/>
      <c r="O277" s="663"/>
      <c r="P277" s="663"/>
      <c r="Q277" s="663"/>
      <c r="R277" s="663"/>
      <c r="S277" s="663"/>
      <c r="T277" s="663"/>
      <c r="U277" s="663"/>
      <c r="V277" s="663"/>
      <c r="W277" s="663"/>
      <c r="X277" s="663"/>
      <c r="Y277" s="663"/>
      <c r="Z277" s="663"/>
      <c r="AA277" s="663"/>
      <c r="AB277" s="663"/>
      <c r="AC277" s="663"/>
      <c r="AD277" s="663"/>
      <c r="AE277" s="663"/>
      <c r="AF277" s="663"/>
      <c r="AG277" s="663"/>
      <c r="AH277" s="663"/>
    </row>
    <row r="278" ht="15" customHeight="1">
      <c r="A278" s="663"/>
      <c r="B278" s="664">
        <v>317</v>
      </c>
      <c r="C278" s="665"/>
      <c r="D278" s="663"/>
      <c r="E278" s="663"/>
      <c r="F278" s="663"/>
      <c r="G278" s="663"/>
      <c r="H278" s="663"/>
      <c r="I278" s="663"/>
      <c r="J278" s="663"/>
      <c r="K278" s="663"/>
      <c r="L278" s="663"/>
      <c r="M278" s="663"/>
      <c r="N278" s="663"/>
      <c r="O278" s="663"/>
      <c r="P278" s="663"/>
      <c r="Q278" s="663"/>
      <c r="R278" s="663"/>
      <c r="S278" s="663"/>
      <c r="T278" s="663"/>
      <c r="U278" s="663"/>
      <c r="V278" s="663"/>
      <c r="W278" s="663"/>
      <c r="X278" s="663"/>
      <c r="Y278" s="663"/>
      <c r="Z278" s="663"/>
      <c r="AA278" s="663"/>
      <c r="AB278" s="663"/>
      <c r="AC278" s="663"/>
      <c r="AD278" s="663"/>
      <c r="AE278" s="663"/>
      <c r="AF278" s="663"/>
      <c r="AG278" s="663"/>
      <c r="AH278" s="663"/>
    </row>
    <row r="279" ht="15" customHeight="1">
      <c r="A279" s="663"/>
      <c r="B279" s="664">
        <v>318</v>
      </c>
      <c r="C279" s="665"/>
      <c r="D279" s="663"/>
      <c r="E279" s="663"/>
      <c r="F279" s="663"/>
      <c r="G279" s="663"/>
      <c r="H279" s="663"/>
      <c r="I279" s="663"/>
      <c r="J279" s="663"/>
      <c r="K279" s="663"/>
      <c r="L279" s="663"/>
      <c r="M279" s="663"/>
      <c r="N279" s="663"/>
      <c r="O279" s="663"/>
      <c r="P279" s="663"/>
      <c r="Q279" s="663"/>
      <c r="R279" s="663"/>
      <c r="S279" s="663"/>
      <c r="T279" s="663"/>
      <c r="U279" s="663"/>
      <c r="V279" s="663"/>
      <c r="W279" s="663"/>
      <c r="X279" s="663"/>
      <c r="Y279" s="663"/>
      <c r="Z279" s="663"/>
      <c r="AA279" s="663"/>
      <c r="AB279" s="663"/>
      <c r="AC279" s="663"/>
      <c r="AD279" s="663"/>
      <c r="AE279" s="663"/>
      <c r="AF279" s="663"/>
      <c r="AG279" s="663"/>
      <c r="AH279" s="663"/>
    </row>
    <row r="280" ht="15" customHeight="1">
      <c r="A280" s="668"/>
      <c r="B280" s="669">
        <v>319</v>
      </c>
      <c r="C280" s="670"/>
      <c r="D280" s="668"/>
      <c r="E280" s="668"/>
      <c r="F280" s="668"/>
      <c r="G280" s="668"/>
      <c r="H280" s="668"/>
      <c r="I280" s="668"/>
      <c r="J280" s="668"/>
      <c r="K280" s="668"/>
      <c r="L280" s="668"/>
      <c r="M280" s="668"/>
      <c r="N280" s="668"/>
      <c r="O280" s="668"/>
      <c r="P280" s="668"/>
      <c r="Q280" s="668"/>
      <c r="R280" s="668"/>
      <c r="S280" s="668"/>
      <c r="T280" s="668"/>
      <c r="U280" s="668"/>
      <c r="V280" s="668"/>
      <c r="W280" s="668"/>
      <c r="X280" s="668"/>
      <c r="Y280" s="668"/>
      <c r="Z280" s="668"/>
      <c r="AA280" s="668"/>
      <c r="AB280" s="668"/>
      <c r="AC280" s="668"/>
      <c r="AD280" s="668"/>
      <c r="AE280" s="668"/>
      <c r="AF280" s="668"/>
      <c r="AG280" s="668"/>
      <c r="AH280" s="668"/>
    </row>
    <row r="281" ht="15" customHeight="1">
      <c r="A281" s="676">
        <f>IF(A287&gt;65.25,-3,-2)</f>
      </c>
      <c r="B281" s="673">
        <v>321</v>
      </c>
      <c r="C281" s="674">
        <v>-33</v>
      </c>
      <c r="D281" t="s" s="675">
        <v>209</v>
      </c>
      <c r="E281" s="676"/>
      <c r="F281" s="676"/>
      <c r="G281" s="676"/>
      <c r="H281" t="s" s="675">
        <f>IF('Planner Worksheet'!$G$16=TRUNC(B281/10),IF(I281="","",'Planner Worksheet'!$G$17+C281),"")</f>
      </c>
      <c r="I281" t="s" s="675">
        <v>397</v>
      </c>
      <c r="J281" s="676"/>
      <c r="K281" s="676"/>
      <c r="L281" s="676"/>
      <c r="M281" s="676"/>
      <c r="N281" s="676"/>
      <c r="O281" s="676"/>
      <c r="P281" s="676"/>
      <c r="Q281" s="676"/>
      <c r="R281" s="676"/>
      <c r="S281" s="676"/>
      <c r="T281" s="676"/>
      <c r="U281" s="676"/>
      <c r="V281" s="676"/>
      <c r="W281" s="676"/>
      <c r="X281" s="676"/>
      <c r="Y281" s="676"/>
      <c r="Z281" s="676"/>
      <c r="AA281" s="676"/>
      <c r="AB281" s="676"/>
      <c r="AC281" s="676"/>
      <c r="AD281" s="676"/>
      <c r="AE281" s="676"/>
      <c r="AF281" s="676"/>
      <c r="AG281" s="676"/>
      <c r="AH281" s="676"/>
    </row>
    <row r="282" ht="15" customHeight="1">
      <c r="A282" s="663"/>
      <c r="B282" s="664">
        <v>322</v>
      </c>
      <c r="C282" s="665">
        <v>-19</v>
      </c>
      <c r="D282" t="s" s="666">
        <v>212</v>
      </c>
      <c r="E282" s="663"/>
      <c r="F282" s="683"/>
      <c r="G282" s="663"/>
      <c r="H282" t="s" s="666">
        <f>IF('Planner Worksheet'!$G$16=TRUNC(B282/10),IF(I282="","",'Planner Worksheet'!$G$17+C282),"")</f>
      </c>
      <c r="I282" t="s" s="666">
        <v>419</v>
      </c>
      <c r="J282" s="663"/>
      <c r="K282" s="663"/>
      <c r="L282" s="663"/>
      <c r="M282" s="663"/>
      <c r="N282" s="663"/>
      <c r="O282" s="663"/>
      <c r="P282" s="663"/>
      <c r="Q282" s="663"/>
      <c r="R282" s="663"/>
      <c r="S282" s="663"/>
      <c r="T282" s="663"/>
      <c r="U282" s="663"/>
      <c r="V282" s="663"/>
      <c r="W282" s="663"/>
      <c r="X282" s="663"/>
      <c r="Y282" s="663"/>
      <c r="Z282" s="663"/>
      <c r="AA282" s="663"/>
      <c r="AB282" s="663"/>
      <c r="AC282" s="663"/>
      <c r="AD282" s="663"/>
      <c r="AE282" s="663"/>
      <c r="AF282" s="663"/>
      <c r="AG282" s="663"/>
      <c r="AH282" s="663"/>
    </row>
    <row r="283" ht="15" customHeight="1">
      <c r="A283" s="663">
        <f>A284-66/24</f>
      </c>
      <c r="B283" s="664">
        <v>323</v>
      </c>
      <c r="C283" s="678">
        <f>A281</f>
      </c>
      <c r="D283" t="s" s="666">
        <f>"Inject "&amp;'Planner Worksheet'!L20&amp;" (PG) to all females at: "</f>
        <v>386</v>
      </c>
      <c r="E283" s="663">
        <f>A283</f>
      </c>
      <c r="F283" s="663"/>
      <c r="G283" s="683"/>
      <c r="H283" s="663">
        <f>H284+C283</f>
      </c>
      <c r="I283" t="s" s="666">
        <f>"* Inject "&amp;'Planner Worksheet'!L20&amp;"- all females"</f>
        <v>335</v>
      </c>
      <c r="J283" s="663"/>
      <c r="K283" s="663"/>
      <c r="L283" s="663"/>
      <c r="M283" s="663"/>
      <c r="N283" s="663"/>
      <c r="O283" s="663"/>
      <c r="P283" s="663"/>
      <c r="Q283" s="663"/>
      <c r="R283" s="663"/>
      <c r="S283" s="663"/>
      <c r="T283" s="663"/>
      <c r="U283" s="663"/>
      <c r="V283" s="663"/>
      <c r="W283" s="663"/>
      <c r="X283" s="663"/>
      <c r="Y283" s="663"/>
      <c r="Z283" s="663"/>
      <c r="AA283" s="663"/>
      <c r="AB283" s="663"/>
      <c r="AC283" s="663"/>
      <c r="AD283" s="663"/>
      <c r="AE283" s="663"/>
      <c r="AF283" s="663"/>
      <c r="AG283" s="663"/>
      <c r="AH283" s="663"/>
    </row>
    <row r="284" ht="15" customHeight="1">
      <c r="A284" s="663">
        <f t="shared" si="107"/>
      </c>
      <c r="B284" s="664">
        <v>324</v>
      </c>
      <c r="C284" s="665">
        <v>0</v>
      </c>
      <c r="D284" t="s" s="666">
        <f>"Inject "&amp;'Planner Worksheet'!L19&amp;" (GnRH) to all females."</f>
        <v>382</v>
      </c>
      <c r="E284" t="s" s="666">
        <v>216</v>
      </c>
      <c r="F284" s="663">
        <f>'Calendar'!D10</f>
      </c>
      <c r="G284" s="663">
        <f>'Calendar'!G10</f>
      </c>
      <c r="H284" t="s" s="666">
        <f>IF('Planner Worksheet'!$G$16=TRUNC(B284/10),IF(I285="","",'Planner Worksheet'!$G$17+C284),"")</f>
      </c>
      <c r="I284" t="s" s="666">
        <f>"** Inject "&amp;'Planner Worksheet'!L19&amp;" &amp; Fixed Time AI (66 hrs after "&amp;'Planner Worksheet'!L20&amp;" )"</f>
        <v>421</v>
      </c>
      <c r="J284" s="663"/>
      <c r="K284" s="663"/>
      <c r="L284" s="663"/>
      <c r="M284" s="663"/>
      <c r="N284" s="663"/>
      <c r="O284" s="663"/>
      <c r="P284" s="663"/>
      <c r="Q284" s="663"/>
      <c r="R284" s="663"/>
      <c r="S284" s="663"/>
      <c r="T284" s="663"/>
      <c r="U284" s="663"/>
      <c r="V284" s="663"/>
      <c r="W284" s="663"/>
      <c r="X284" s="663"/>
      <c r="Y284" s="663"/>
      <c r="Z284" s="663"/>
      <c r="AA284" s="663"/>
      <c r="AB284" s="663"/>
      <c r="AC284" s="663"/>
      <c r="AD284" s="663"/>
      <c r="AE284" s="663"/>
      <c r="AF284" s="663"/>
      <c r="AG284" s="663"/>
      <c r="AH284" s="663"/>
    </row>
    <row r="285" ht="15" customHeight="1">
      <c r="A285" s="663">
        <f t="shared" si="166"/>
      </c>
      <c r="B285" s="664">
        <v>325</v>
      </c>
      <c r="C285" s="665">
        <f>'Planner Worksheet'!G21</f>
        <v>0</v>
      </c>
      <c r="D285" t="s" s="666">
        <v>217</v>
      </c>
      <c r="E285" t="s" s="666">
        <v>203</v>
      </c>
      <c r="F285" s="663"/>
      <c r="G285" s="663"/>
      <c r="H285" t="s" s="666">
        <f>IF('Planner Worksheet'!$G$16=TRUNC(B285/10),IF(I285="","",'Planner Worksheet'!$G$17+C285),"")</f>
      </c>
      <c r="I285" t="s" s="666">
        <v>283</v>
      </c>
      <c r="J285" s="663"/>
      <c r="K285" s="663"/>
      <c r="L285" s="663"/>
      <c r="M285" s="663"/>
      <c r="N285" s="663"/>
      <c r="O285" s="663"/>
      <c r="P285" s="663"/>
      <c r="Q285" s="663"/>
      <c r="R285" s="663"/>
      <c r="S285" s="663"/>
      <c r="T285" s="663"/>
      <c r="U285" s="663"/>
      <c r="V285" s="663"/>
      <c r="W285" s="663"/>
      <c r="X285" s="663"/>
      <c r="Y285" s="663"/>
      <c r="Z285" s="663"/>
      <c r="AA285" s="663"/>
      <c r="AB285" s="663"/>
      <c r="AC285" s="663"/>
      <c r="AD285" s="663"/>
      <c r="AE285" s="663"/>
      <c r="AF285" s="663"/>
      <c r="AG285" s="663"/>
      <c r="AH285" s="663"/>
    </row>
    <row r="286" ht="15" customHeight="1">
      <c r="A286" s="663">
        <f>A285-A284</f>
      </c>
      <c r="B286" s="664">
        <v>326</v>
      </c>
      <c r="C286" s="665">
        <v>21</v>
      </c>
      <c r="D286" t="s" s="666">
        <v>218</v>
      </c>
      <c r="E286" s="663"/>
      <c r="F286" s="663"/>
      <c r="G286" s="663"/>
      <c r="H286" s="663">
        <f>21+H284</f>
      </c>
      <c r="I286" t="s" s="666">
        <v>289</v>
      </c>
      <c r="J286" s="663"/>
      <c r="K286" s="663"/>
      <c r="L286" s="663"/>
      <c r="M286" s="663"/>
      <c r="N286" s="663"/>
      <c r="O286" s="663"/>
      <c r="P286" s="663"/>
      <c r="Q286" s="663"/>
      <c r="R286" s="663"/>
      <c r="S286" s="663"/>
      <c r="T286" s="663"/>
      <c r="U286" s="663"/>
      <c r="V286" s="663"/>
      <c r="W286" s="663"/>
      <c r="X286" s="663"/>
      <c r="Y286" s="663"/>
      <c r="Z286" s="663"/>
      <c r="AA286" s="663"/>
      <c r="AB286" s="663"/>
      <c r="AC286" s="663"/>
      <c r="AD286" s="663"/>
      <c r="AE286" s="663"/>
      <c r="AF286" s="663"/>
      <c r="AG286" s="663"/>
      <c r="AH286" s="663"/>
    </row>
    <row r="287" ht="15" customHeight="1">
      <c r="A287" s="663">
        <f>66-'Planner Worksheet'!H18</f>
      </c>
      <c r="B287" s="664">
        <v>327</v>
      </c>
      <c r="C287" s="665"/>
      <c r="D287" s="663"/>
      <c r="E287" s="663"/>
      <c r="F287" s="663"/>
      <c r="G287" s="663"/>
      <c r="H287" s="663"/>
      <c r="I287" s="663"/>
      <c r="J287" s="663"/>
      <c r="K287" s="663"/>
      <c r="L287" s="663"/>
      <c r="M287" s="663"/>
      <c r="N287" s="663"/>
      <c r="O287" s="663"/>
      <c r="P287" s="663"/>
      <c r="Q287" s="663"/>
      <c r="R287" s="663"/>
      <c r="S287" s="663"/>
      <c r="T287" s="663"/>
      <c r="U287" s="663"/>
      <c r="V287" s="663"/>
      <c r="W287" s="663"/>
      <c r="X287" s="663"/>
      <c r="Y287" s="663"/>
      <c r="Z287" s="663"/>
      <c r="AA287" s="663"/>
      <c r="AB287" s="663"/>
      <c r="AC287" s="663"/>
      <c r="AD287" s="663"/>
      <c r="AE287" s="663"/>
      <c r="AF287" s="663"/>
      <c r="AG287" s="663"/>
      <c r="AH287" s="663"/>
    </row>
    <row r="288" ht="15" customHeight="1">
      <c r="A288" s="663"/>
      <c r="B288" s="664">
        <v>328</v>
      </c>
      <c r="C288" s="665"/>
      <c r="D288" s="663"/>
      <c r="E288" s="663"/>
      <c r="F288" s="663"/>
      <c r="G288" s="663"/>
      <c r="H288" s="663"/>
      <c r="I288" s="663"/>
      <c r="J288" s="663"/>
      <c r="K288" s="663"/>
      <c r="L288" s="663"/>
      <c r="M288" s="663"/>
      <c r="N288" s="663"/>
      <c r="O288" s="663"/>
      <c r="P288" s="663"/>
      <c r="Q288" s="663"/>
      <c r="R288" s="663"/>
      <c r="S288" s="663"/>
      <c r="T288" s="663"/>
      <c r="U288" s="663"/>
      <c r="V288" s="663"/>
      <c r="W288" s="663"/>
      <c r="X288" s="663"/>
      <c r="Y288" s="663"/>
      <c r="Z288" s="663"/>
      <c r="AA288" s="663"/>
      <c r="AB288" s="663"/>
      <c r="AC288" s="663"/>
      <c r="AD288" s="663"/>
      <c r="AE288" s="663"/>
      <c r="AF288" s="663"/>
      <c r="AG288" s="663"/>
      <c r="AH288" s="663"/>
    </row>
    <row r="289" ht="15" customHeight="1">
      <c r="A289" s="668"/>
      <c r="B289" s="669">
        <v>329</v>
      </c>
      <c r="C289" s="670"/>
      <c r="D289" s="668"/>
      <c r="E289" s="668"/>
      <c r="F289" s="668"/>
      <c r="G289" s="668"/>
      <c r="H289" s="668"/>
      <c r="I289" s="668"/>
      <c r="J289" s="668"/>
      <c r="K289" s="668"/>
      <c r="L289" s="668"/>
      <c r="M289" s="668"/>
      <c r="N289" s="668"/>
      <c r="O289" s="668"/>
      <c r="P289" s="668"/>
      <c r="Q289" s="668"/>
      <c r="R289" s="668"/>
      <c r="S289" s="668"/>
      <c r="T289" s="668"/>
      <c r="U289" s="668"/>
      <c r="V289" s="668"/>
      <c r="W289" s="668"/>
      <c r="X289" s="668"/>
      <c r="Y289" s="668"/>
      <c r="Z289" s="668"/>
      <c r="AA289" s="668"/>
      <c r="AB289" s="668"/>
      <c r="AC289" s="668"/>
      <c r="AD289" s="668"/>
      <c r="AE289" s="668"/>
      <c r="AF289" s="668"/>
      <c r="AG289" s="668"/>
      <c r="AH289" s="668"/>
    </row>
    <row r="290" ht="15" customHeight="1">
      <c r="A290" t="s" s="675">
        <f>H290</f>
      </c>
      <c r="B290" s="673">
        <v>331</v>
      </c>
      <c r="C290" s="674">
        <v>0</v>
      </c>
      <c r="D290" t="s" s="675">
        <f>"Inject "&amp;'Planner Worksheet'!L20&amp;" (PG) to all females."</f>
        <v>334</v>
      </c>
      <c r="E290" s="692"/>
      <c r="F290" t="s" s="675">
        <v>422</v>
      </c>
      <c r="G290" t="s" s="675">
        <v>258</v>
      </c>
      <c r="H290" t="s" s="675">
        <f>IF('Planner Worksheet'!$G$16=TRUNC(B290/10),IF(I290="","",'Planner Worksheet'!$G$17+C290),"")</f>
      </c>
      <c r="I290" t="s" s="675">
        <f>"* Inject "&amp;'Planner Worksheet'!L20&amp;"- all females"</f>
        <v>335</v>
      </c>
      <c r="J290" s="676"/>
      <c r="K290" s="676"/>
      <c r="L290" s="676"/>
      <c r="M290" s="676"/>
      <c r="N290" s="676"/>
      <c r="O290" s="676"/>
      <c r="P290" s="676"/>
      <c r="Q290" s="676"/>
      <c r="R290" s="676"/>
      <c r="S290" s="676"/>
      <c r="T290" s="676"/>
      <c r="U290" s="676"/>
      <c r="V290" s="676"/>
      <c r="W290" s="676"/>
      <c r="X290" s="676"/>
      <c r="Y290" s="676"/>
      <c r="Z290" s="676"/>
      <c r="AA290" s="676"/>
      <c r="AB290" s="676"/>
      <c r="AC290" s="676"/>
      <c r="AD290" s="676"/>
      <c r="AE290" s="676"/>
      <c r="AF290" s="676"/>
      <c r="AG290" s="676"/>
      <c r="AH290" s="676"/>
    </row>
    <row r="291" ht="15" customHeight="1">
      <c r="A291" s="693"/>
      <c r="B291" s="664">
        <v>332</v>
      </c>
      <c r="C291" s="665">
        <v>1</v>
      </c>
      <c r="D291" t="s" s="666">
        <v>423</v>
      </c>
      <c r="E291" t="s" s="666">
        <v>258</v>
      </c>
      <c r="F291" s="663"/>
      <c r="G291" s="683"/>
      <c r="H291" t="s" s="666">
        <f>IF('Planner Worksheet'!$G$16=TRUNC(B291/10),IF(I291="","",'Planner Worksheet'!$G$17+C291),"")</f>
      </c>
      <c r="I291" s="663"/>
      <c r="J291" s="663"/>
      <c r="K291" s="663"/>
      <c r="L291" s="663"/>
      <c r="M291" s="663"/>
      <c r="N291" s="663"/>
      <c r="O291" s="663"/>
      <c r="P291" s="663"/>
      <c r="Q291" s="663"/>
      <c r="R291" s="663"/>
      <c r="S291" s="663"/>
      <c r="T291" s="663"/>
      <c r="U291" s="663"/>
      <c r="V291" s="663"/>
      <c r="W291" s="663"/>
      <c r="X291" s="663"/>
      <c r="Y291" s="663"/>
      <c r="Z291" s="663"/>
      <c r="AA291" s="663"/>
      <c r="AB291" s="663"/>
      <c r="AC291" s="663"/>
      <c r="AD291" s="663"/>
      <c r="AE291" s="663"/>
      <c r="AF291" s="663"/>
      <c r="AG291" s="663"/>
      <c r="AH291" s="663"/>
    </row>
    <row r="292" ht="15" customHeight="1">
      <c r="A292" s="663"/>
      <c r="B292" s="664">
        <v>333</v>
      </c>
      <c r="C292" s="665">
        <v>2</v>
      </c>
      <c r="D292" t="s" s="666">
        <v>423</v>
      </c>
      <c r="E292" t="s" s="666">
        <v>258</v>
      </c>
      <c r="F292" s="663"/>
      <c r="G292" s="663"/>
      <c r="H292" t="s" s="666">
        <f>IF('Planner Worksheet'!$G$16=TRUNC(B292/10),IF(I292="","",'Planner Worksheet'!$G$17+C292),"")</f>
      </c>
      <c r="I292" s="663"/>
      <c r="J292" s="663"/>
      <c r="K292" s="663"/>
      <c r="L292" s="663"/>
      <c r="M292" s="663"/>
      <c r="N292" s="663"/>
      <c r="O292" s="663"/>
      <c r="P292" s="663"/>
      <c r="Q292" s="663"/>
      <c r="R292" s="663"/>
      <c r="S292" s="663"/>
      <c r="T292" s="663"/>
      <c r="U292" s="663"/>
      <c r="V292" s="663"/>
      <c r="W292" s="663"/>
      <c r="X292" s="663"/>
      <c r="Y292" s="663"/>
      <c r="Z292" s="663"/>
      <c r="AA292" s="663"/>
      <c r="AB292" s="663"/>
      <c r="AC292" s="663"/>
      <c r="AD292" s="663"/>
      <c r="AE292" s="663"/>
      <c r="AF292" s="663"/>
      <c r="AG292" s="663"/>
      <c r="AH292" s="663"/>
    </row>
    <row r="293" ht="15" customHeight="1">
      <c r="A293" s="663"/>
      <c r="B293" s="664">
        <v>334</v>
      </c>
      <c r="C293" s="665">
        <v>3</v>
      </c>
      <c r="D293" t="s" s="666">
        <v>424</v>
      </c>
      <c r="E293" t="s" s="666">
        <f>"Inject "&amp;'Planner Worksheet'!L19&amp;" (GnRH) &amp; inseminate for each female not bred."</f>
        <v>425</v>
      </c>
      <c r="F293" s="683"/>
      <c r="G293" s="683"/>
      <c r="H293" t="s" s="666">
        <f>IF('Planner Worksheet'!$G$16=TRUNC(B293/10),IF(I293="","",'Planner Worksheet'!$G$17+C293),"")</f>
      </c>
      <c r="I293" t="s" s="666">
        <f>"* Insert CIDR device+ Inject "&amp;'Planner Worksheet'!L19&amp;" in nonbred females "</f>
        <v>426</v>
      </c>
      <c r="J293" s="663"/>
      <c r="K293" s="663"/>
      <c r="L293" s="663"/>
      <c r="M293" s="663"/>
      <c r="N293" s="663"/>
      <c r="O293" s="663"/>
      <c r="P293" s="663"/>
      <c r="Q293" s="663"/>
      <c r="R293" s="663"/>
      <c r="S293" s="663"/>
      <c r="T293" s="663"/>
      <c r="U293" s="663"/>
      <c r="V293" s="663"/>
      <c r="W293" s="663"/>
      <c r="X293" s="663"/>
      <c r="Y293" s="663"/>
      <c r="Z293" s="663"/>
      <c r="AA293" s="663"/>
      <c r="AB293" s="663"/>
      <c r="AC293" s="663"/>
      <c r="AD293" s="663"/>
      <c r="AE293" s="663"/>
      <c r="AF293" s="663"/>
      <c r="AG293" s="663"/>
      <c r="AH293" s="663"/>
    </row>
    <row r="294" ht="15" customHeight="1">
      <c r="A294" s="663"/>
      <c r="B294" s="664">
        <v>335</v>
      </c>
      <c r="C294" s="665">
        <v>9</v>
      </c>
      <c r="D294" t="s" s="666">
        <v>212</v>
      </c>
      <c r="E294" t="s" s="666">
        <f>"Inject "&amp;'Planner Worksheet'!L20&amp;" (PG) &amp; inseminate for each female not bred."</f>
        <v>427</v>
      </c>
      <c r="F294" s="683">
        <f>'Planner Worksheet'!G18</f>
        <v>0.4166666666666666</v>
      </c>
      <c r="G294" t="s" s="666">
        <v>428</v>
      </c>
      <c r="H294" t="s" s="666">
        <f>IF('Planner Worksheet'!$G$16=TRUNC(B294/10),IF(I294="","",'Planner Worksheet'!$G$17+C294),"")</f>
      </c>
      <c r="I294" t="s" s="666">
        <f>"* Remove CIDR device+ inject "&amp;'Planner Worksheet'!L20&amp;"  in nonbred females "</f>
        <v>429</v>
      </c>
      <c r="J294" s="663"/>
      <c r="K294" s="663"/>
      <c r="L294" s="663"/>
      <c r="M294" s="663"/>
      <c r="N294" s="663"/>
      <c r="O294" s="663"/>
      <c r="P294" s="663"/>
      <c r="Q294" s="663"/>
      <c r="R294" s="663"/>
      <c r="S294" s="663"/>
      <c r="T294" s="663"/>
      <c r="U294" s="663"/>
      <c r="V294" s="663"/>
      <c r="W294" s="663"/>
      <c r="X294" s="663"/>
      <c r="Y294" s="663"/>
      <c r="Z294" s="663"/>
      <c r="AA294" s="663"/>
      <c r="AB294" s="663"/>
      <c r="AC294" s="663"/>
      <c r="AD294" s="663"/>
      <c r="AE294" s="663"/>
      <c r="AF294" s="663"/>
      <c r="AG294" s="663"/>
      <c r="AH294" s="663"/>
    </row>
    <row r="295" ht="15" customHeight="1">
      <c r="A295" s="663"/>
      <c r="B295" s="664">
        <v>336</v>
      </c>
      <c r="C295" s="665">
        <v>10</v>
      </c>
      <c r="D295" t="s" s="666">
        <v>430</v>
      </c>
      <c r="E295" t="s" s="666">
        <v>258</v>
      </c>
      <c r="F295" s="663"/>
      <c r="G295" s="663"/>
      <c r="H295" t="s" s="666">
        <f>IF('Planner Worksheet'!$G$16=TRUNC(B295/10),IF(I295="","",'Planner Worksheet'!$G$17+C295),"")</f>
      </c>
      <c r="I295" t="s" s="666">
        <v>431</v>
      </c>
      <c r="J295" s="663"/>
      <c r="K295" s="663"/>
      <c r="L295" s="663"/>
      <c r="M295" s="663"/>
      <c r="N295" s="663"/>
      <c r="O295" s="663"/>
      <c r="P295" s="663"/>
      <c r="Q295" s="663"/>
      <c r="R295" s="663"/>
      <c r="S295" s="663"/>
      <c r="T295" s="663"/>
      <c r="U295" s="663"/>
      <c r="V295" s="663"/>
      <c r="W295" s="663"/>
      <c r="X295" s="663"/>
      <c r="Y295" s="663"/>
      <c r="Z295" s="663"/>
      <c r="AA295" s="663"/>
      <c r="AB295" s="663"/>
      <c r="AC295" s="663"/>
      <c r="AD295" s="663"/>
      <c r="AE295" s="663"/>
      <c r="AF295" s="663"/>
      <c r="AG295" s="663"/>
      <c r="AH295" s="663"/>
    </row>
    <row r="296" ht="15" customHeight="1">
      <c r="A296" s="663"/>
      <c r="B296" s="664">
        <v>337</v>
      </c>
      <c r="C296" s="665">
        <v>11</v>
      </c>
      <c r="D296" t="s" s="666">
        <v>430</v>
      </c>
      <c r="E296" t="s" s="666">
        <v>258</v>
      </c>
      <c r="F296" s="663"/>
      <c r="G296" s="663"/>
      <c r="H296" t="s" s="666">
        <f>IF('Planner Worksheet'!$G$16=TRUNC(B296/10),IF(I296="","",'Planner Worksheet'!$G$17+C296),"")</f>
      </c>
      <c r="I296" t="s" s="666">
        <v>431</v>
      </c>
      <c r="J296" s="663"/>
      <c r="K296" s="663"/>
      <c r="L296" s="663"/>
      <c r="M296" s="663"/>
      <c r="N296" s="663"/>
      <c r="O296" s="663"/>
      <c r="P296" s="663"/>
      <c r="Q296" s="663"/>
      <c r="R296" s="663"/>
      <c r="S296" s="663"/>
      <c r="T296" s="663"/>
      <c r="U296" s="663"/>
      <c r="V296" s="663"/>
      <c r="W296" s="663"/>
      <c r="X296" s="663"/>
      <c r="Y296" s="663"/>
      <c r="Z296" s="663"/>
      <c r="AA296" s="663"/>
      <c r="AB296" s="663"/>
      <c r="AC296" s="663"/>
      <c r="AD296" s="663"/>
      <c r="AE296" s="663"/>
      <c r="AF296" s="663"/>
      <c r="AG296" s="663"/>
      <c r="AH296" s="663"/>
    </row>
    <row r="297" ht="15" customHeight="1">
      <c r="A297" s="663"/>
      <c r="B297" s="664">
        <v>338</v>
      </c>
      <c r="C297" s="665">
        <v>12</v>
      </c>
      <c r="D297" t="s" s="666">
        <v>276</v>
      </c>
      <c r="E297" t="s" s="666">
        <f>"Inject "&amp;'Planner Worksheet'!L19&amp;" (GnRH) &amp; inseminate for each female not bred between:"</f>
        <v>432</v>
      </c>
      <c r="F297" s="683">
        <f>'Planner Worksheet'!G18</f>
        <v>0.4166666666666666</v>
      </c>
      <c r="G297" s="663">
        <f>F297+TIME(12,0,0)</f>
      </c>
      <c r="H297" t="s" s="666">
        <f>IF('Planner Worksheet'!$G$16=TRUNC(B295/10),IF(I297="","",'Planner Worksheet'!$G$17+C297),"")</f>
      </c>
      <c r="I297" t="s" s="666">
        <f>"** Inject "&amp;'Planner Worksheet'!L19&amp;" &amp; Clean-up AI (72-84 hrs after "&amp;'Planner Worksheet'!L20&amp;" )"</f>
        <v>388</v>
      </c>
      <c r="J297" s="663"/>
      <c r="K297" s="663"/>
      <c r="L297" s="663"/>
      <c r="M297" s="663"/>
      <c r="N297" s="663"/>
      <c r="O297" s="663"/>
      <c r="P297" s="663"/>
      <c r="Q297" s="663"/>
      <c r="R297" s="663"/>
      <c r="S297" s="663"/>
      <c r="T297" s="663"/>
      <c r="U297" s="663"/>
      <c r="V297" s="663"/>
      <c r="W297" s="663"/>
      <c r="X297" s="663"/>
      <c r="Y297" s="663"/>
      <c r="Z297" s="663"/>
      <c r="AA297" s="663"/>
      <c r="AB297" s="663"/>
      <c r="AC297" s="663"/>
      <c r="AD297" s="663"/>
      <c r="AE297" s="663"/>
      <c r="AF297" s="663"/>
      <c r="AG297" s="663"/>
      <c r="AH297" s="663"/>
    </row>
    <row r="298" ht="15" customHeight="1">
      <c r="A298" s="668"/>
      <c r="B298" s="669">
        <v>339</v>
      </c>
      <c r="C298" s="670">
        <f>'Planner Worksheet'!G21+C297</f>
        <v>12</v>
      </c>
      <c r="D298" t="s" s="681">
        <v>217</v>
      </c>
      <c r="E298" t="s" s="681">
        <v>203</v>
      </c>
      <c r="F298" s="668"/>
      <c r="G298" s="668"/>
      <c r="H298" t="s" s="681">
        <f>IF('Planner Worksheet'!$G$16=TRUNC(B296/10),IF(I298="","",'Planner Worksheet'!$G$17+C298),"")</f>
      </c>
      <c r="I298" t="s" s="681">
        <v>283</v>
      </c>
      <c r="J298" s="668"/>
      <c r="K298" s="668"/>
      <c r="L298" s="668"/>
      <c r="M298" s="668"/>
      <c r="N298" s="668"/>
      <c r="O298" s="668"/>
      <c r="P298" s="668"/>
      <c r="Q298" s="668"/>
      <c r="R298" s="668"/>
      <c r="S298" s="668"/>
      <c r="T298" s="668"/>
      <c r="U298" s="668"/>
      <c r="V298" s="668"/>
      <c r="W298" s="668"/>
      <c r="X298" s="668"/>
      <c r="Y298" s="668"/>
      <c r="Z298" s="668"/>
      <c r="AA298" s="668"/>
      <c r="AB298" s="668"/>
      <c r="AC298" s="668"/>
      <c r="AD298" s="668"/>
      <c r="AE298" s="668"/>
      <c r="AF298" s="668"/>
      <c r="AG298" s="668"/>
      <c r="AH298" s="668"/>
    </row>
    <row r="299" ht="15" customHeight="1">
      <c r="A299" t="s" s="675">
        <f>H299</f>
      </c>
      <c r="B299" s="673">
        <v>341</v>
      </c>
      <c r="C299" s="674">
        <v>0</v>
      </c>
      <c r="D299" t="s" s="675">
        <f>"Inject "&amp;'Planner Worksheet'!L20&amp;" (PG) to all females."</f>
        <v>334</v>
      </c>
      <c r="E299" s="676"/>
      <c r="F299" t="s" s="675">
        <v>422</v>
      </c>
      <c r="G299" t="s" s="675">
        <v>258</v>
      </c>
      <c r="H299" t="s" s="675">
        <f>IF('Planner Worksheet'!$G$16=TRUNC(B299/10),IF(I299="","",'Planner Worksheet'!$G$17+C299),"")</f>
      </c>
      <c r="I299" t="s" s="675">
        <f>"* Inject "&amp;'Planner Worksheet'!L20&amp;"- all females"</f>
        <v>335</v>
      </c>
      <c r="J299" s="676"/>
      <c r="K299" s="676"/>
      <c r="L299" s="676"/>
      <c r="M299" s="676"/>
      <c r="N299" s="676"/>
      <c r="O299" s="676"/>
      <c r="P299" s="676"/>
      <c r="Q299" s="676"/>
      <c r="R299" s="676"/>
      <c r="S299" s="676"/>
      <c r="T299" s="676"/>
      <c r="U299" s="676"/>
      <c r="V299" s="676"/>
      <c r="W299" s="676"/>
      <c r="X299" s="676"/>
      <c r="Y299" s="676"/>
      <c r="Z299" s="676"/>
      <c r="AA299" s="676"/>
      <c r="AB299" s="676"/>
      <c r="AC299" s="676"/>
      <c r="AD299" s="676"/>
      <c r="AE299" s="676"/>
      <c r="AF299" s="676"/>
      <c r="AG299" s="676"/>
      <c r="AH299" s="676"/>
    </row>
    <row r="300" ht="15" customHeight="1">
      <c r="A300" s="663"/>
      <c r="B300" s="664">
        <v>342</v>
      </c>
      <c r="C300" s="665">
        <v>1</v>
      </c>
      <c r="D300" t="s" s="666">
        <v>423</v>
      </c>
      <c r="E300" t="s" s="666">
        <v>258</v>
      </c>
      <c r="F300" s="663"/>
      <c r="G300" s="663"/>
      <c r="H300" t="s" s="666">
        <f>IF('Planner Worksheet'!$G$16=TRUNC(B300/10),IF(I300="","",'Planner Worksheet'!$G$17+C300),"")</f>
      </c>
      <c r="I300" t="s" s="666">
        <v>431</v>
      </c>
      <c r="J300" s="663"/>
      <c r="K300" s="663"/>
      <c r="L300" s="663"/>
      <c r="M300" s="663"/>
      <c r="N300" s="663"/>
      <c r="O300" s="663"/>
      <c r="P300" s="663"/>
      <c r="Q300" s="663"/>
      <c r="R300" s="663"/>
      <c r="S300" s="663"/>
      <c r="T300" s="663"/>
      <c r="U300" s="663"/>
      <c r="V300" s="663"/>
      <c r="W300" s="663"/>
      <c r="X300" s="663"/>
      <c r="Y300" s="663"/>
      <c r="Z300" s="663"/>
      <c r="AA300" s="663"/>
      <c r="AB300" s="663"/>
      <c r="AC300" s="663"/>
      <c r="AD300" s="663"/>
      <c r="AE300" s="663"/>
      <c r="AF300" s="663"/>
      <c r="AG300" s="663"/>
      <c r="AH300" s="663"/>
    </row>
    <row r="301" ht="15" customHeight="1">
      <c r="A301" s="663"/>
      <c r="B301" s="664">
        <v>343</v>
      </c>
      <c r="C301" s="665">
        <v>2</v>
      </c>
      <c r="D301" t="s" s="666">
        <v>423</v>
      </c>
      <c r="E301" t="s" s="666">
        <v>258</v>
      </c>
      <c r="F301" s="663"/>
      <c r="G301" s="663"/>
      <c r="H301" t="s" s="666">
        <f>IF('Planner Worksheet'!$G$16=TRUNC(B301/10),IF(I301="","",'Planner Worksheet'!$G$17+C301),"")</f>
      </c>
      <c r="I301" t="s" s="666">
        <v>431</v>
      </c>
      <c r="J301" s="663"/>
      <c r="K301" s="663"/>
      <c r="L301" s="663"/>
      <c r="M301" s="663"/>
      <c r="N301" s="663"/>
      <c r="O301" s="663"/>
      <c r="P301" s="663"/>
      <c r="Q301" s="663"/>
      <c r="R301" s="663"/>
      <c r="S301" s="663"/>
      <c r="T301" s="663"/>
      <c r="U301" s="663"/>
      <c r="V301" s="663"/>
      <c r="W301" s="663"/>
      <c r="X301" s="663"/>
      <c r="Y301" s="663"/>
      <c r="Z301" s="663"/>
      <c r="AA301" s="663"/>
      <c r="AB301" s="663"/>
      <c r="AC301" s="663"/>
      <c r="AD301" s="663"/>
      <c r="AE301" s="663"/>
      <c r="AF301" s="663"/>
      <c r="AG301" s="663"/>
      <c r="AH301" s="663"/>
    </row>
    <row r="302" ht="15" customHeight="1">
      <c r="A302" s="663"/>
      <c r="B302" s="664">
        <v>344</v>
      </c>
      <c r="C302" s="665">
        <v>3</v>
      </c>
      <c r="D302" t="s" s="666">
        <v>424</v>
      </c>
      <c r="E302" t="s" s="666">
        <f>"Inject "&amp;'Planner Worksheet'!L19&amp;" (GnRH) &amp; inseminate for each female not bred."</f>
        <v>425</v>
      </c>
      <c r="F302" s="683"/>
      <c r="G302" s="683"/>
      <c r="H302" t="s" s="666">
        <f>IF('Planner Worksheet'!$G$16=TRUNC(B302/10),IF(I302="","",'Planner Worksheet'!$G$17+C302),"")</f>
      </c>
      <c r="I302" t="s" s="666">
        <f>"* Insert CIDR device+ inject "&amp;'Planner Worksheet'!L19&amp;"  in nonbred females "</f>
        <v>433</v>
      </c>
      <c r="J302" s="663"/>
      <c r="K302" s="663"/>
      <c r="L302" s="663"/>
      <c r="M302" s="663"/>
      <c r="N302" s="663"/>
      <c r="O302" s="663"/>
      <c r="P302" s="663"/>
      <c r="Q302" s="663"/>
      <c r="R302" s="663"/>
      <c r="S302" s="663"/>
      <c r="T302" s="663"/>
      <c r="U302" s="663"/>
      <c r="V302" s="663"/>
      <c r="W302" s="663"/>
      <c r="X302" s="663"/>
      <c r="Y302" s="663"/>
      <c r="Z302" s="663"/>
      <c r="AA302" s="663"/>
      <c r="AB302" s="663"/>
      <c r="AC302" s="663"/>
      <c r="AD302" s="663"/>
      <c r="AE302" s="663"/>
      <c r="AF302" s="663"/>
      <c r="AG302" s="663"/>
      <c r="AH302" s="663"/>
    </row>
    <row r="303" ht="15" customHeight="1">
      <c r="A303" s="663"/>
      <c r="B303" s="664">
        <v>345</v>
      </c>
      <c r="C303" s="665">
        <v>9</v>
      </c>
      <c r="D303" t="s" s="666">
        <v>212</v>
      </c>
      <c r="E303" t="s" s="666">
        <f>"Inject "&amp;'Planner Worksheet'!L20&amp;" (PG) &amp; inseminate for each female not bred."</f>
        <v>427</v>
      </c>
      <c r="F303" s="683"/>
      <c r="G303" t="s" s="666">
        <v>428</v>
      </c>
      <c r="H303" t="s" s="666">
        <f>IF('Planner Worksheet'!$G$16=TRUNC(B303/10),IF(I303="","",'Planner Worksheet'!$G$17+C303),"")</f>
      </c>
      <c r="I303" t="s" s="666">
        <f>"* Remove CIDR device+ inject "&amp;'Planner Worksheet'!L20&amp;" in nonbred females "</f>
        <v>434</v>
      </c>
      <c r="J303" s="663"/>
      <c r="K303" s="663"/>
      <c r="L303" s="663"/>
      <c r="M303" s="663"/>
      <c r="N303" s="663"/>
      <c r="O303" s="663"/>
      <c r="P303" s="663"/>
      <c r="Q303" s="663"/>
      <c r="R303" s="663"/>
      <c r="S303" s="663"/>
      <c r="T303" s="663"/>
      <c r="U303" s="663"/>
      <c r="V303" s="663"/>
      <c r="W303" s="663"/>
      <c r="X303" s="663"/>
      <c r="Y303" s="663"/>
      <c r="Z303" s="663"/>
      <c r="AA303" s="663"/>
      <c r="AB303" s="663"/>
      <c r="AC303" s="663"/>
      <c r="AD303" s="663"/>
      <c r="AE303" s="663"/>
      <c r="AF303" s="663"/>
      <c r="AG303" s="663"/>
      <c r="AH303" s="663"/>
    </row>
    <row r="304" ht="15" customHeight="1">
      <c r="A304" s="663"/>
      <c r="B304" s="664">
        <v>346</v>
      </c>
      <c r="C304" s="665">
        <v>10</v>
      </c>
      <c r="D304" t="s" s="666">
        <v>435</v>
      </c>
      <c r="E304" t="s" s="666">
        <v>258</v>
      </c>
      <c r="F304" s="663"/>
      <c r="G304" s="663"/>
      <c r="H304" t="s" s="666">
        <f>IF('Planner Worksheet'!$G$16=TRUNC(B304/10),IF(I304="","",'Planner Worksheet'!$G$17+C304),"")</f>
      </c>
      <c r="I304" t="s" s="666">
        <v>431</v>
      </c>
      <c r="J304" s="663"/>
      <c r="K304" s="663"/>
      <c r="L304" s="663"/>
      <c r="M304" s="663"/>
      <c r="N304" s="663"/>
      <c r="O304" s="663"/>
      <c r="P304" s="663"/>
      <c r="Q304" s="663"/>
      <c r="R304" s="663"/>
      <c r="S304" s="663"/>
      <c r="T304" s="663"/>
      <c r="U304" s="663"/>
      <c r="V304" s="663"/>
      <c r="W304" s="663"/>
      <c r="X304" s="663"/>
      <c r="Y304" s="663"/>
      <c r="Z304" s="663"/>
      <c r="AA304" s="663"/>
      <c r="AB304" s="663"/>
      <c r="AC304" s="663"/>
      <c r="AD304" s="663"/>
      <c r="AE304" s="663"/>
      <c r="AF304" s="663"/>
      <c r="AG304" s="663"/>
      <c r="AH304" s="663"/>
    </row>
    <row r="305" ht="15" customHeight="1">
      <c r="A305" s="663"/>
      <c r="B305" s="664">
        <v>347</v>
      </c>
      <c r="C305" s="665">
        <v>11</v>
      </c>
      <c r="D305" t="s" s="666">
        <v>423</v>
      </c>
      <c r="E305" t="s" s="666">
        <v>258</v>
      </c>
      <c r="F305" s="663"/>
      <c r="G305" s="663"/>
      <c r="H305" t="s" s="666">
        <f>IF('Planner Worksheet'!$G$16=TRUNC(B305/10),IF(I305="","",'Planner Worksheet'!$G$17+C305),"")</f>
      </c>
      <c r="I305" t="s" s="666">
        <v>431</v>
      </c>
      <c r="J305" s="663"/>
      <c r="K305" s="663"/>
      <c r="L305" s="663"/>
      <c r="M305" s="663"/>
      <c r="N305" s="663"/>
      <c r="O305" s="663"/>
      <c r="P305" s="663"/>
      <c r="Q305" s="663"/>
      <c r="R305" s="663"/>
      <c r="S305" s="663"/>
      <c r="T305" s="663"/>
      <c r="U305" s="663"/>
      <c r="V305" s="663"/>
      <c r="W305" s="663"/>
      <c r="X305" s="663"/>
      <c r="Y305" s="663"/>
      <c r="Z305" s="663"/>
      <c r="AA305" s="663"/>
      <c r="AB305" s="663"/>
      <c r="AC305" s="663"/>
      <c r="AD305" s="663"/>
      <c r="AE305" s="663"/>
      <c r="AF305" s="663"/>
      <c r="AG305" s="663"/>
      <c r="AH305" s="663"/>
    </row>
    <row r="306" ht="15" customHeight="1">
      <c r="A306" s="663"/>
      <c r="B306" s="664">
        <v>348</v>
      </c>
      <c r="C306" s="665">
        <v>12</v>
      </c>
      <c r="D306" t="s" s="666">
        <v>423</v>
      </c>
      <c r="E306" t="s" s="666">
        <v>258</v>
      </c>
      <c r="F306" s="663"/>
      <c r="G306" s="663"/>
      <c r="H306" t="s" s="666">
        <f>IF('Planner Worksheet'!$G$16=TRUNC(B306/10),IF(I306="","",'Planner Worksheet'!$G$17+C306),"")</f>
      </c>
      <c r="I306" t="s" s="666">
        <v>431</v>
      </c>
      <c r="J306" s="663"/>
      <c r="K306" s="663"/>
      <c r="L306" s="663"/>
      <c r="M306" s="663"/>
      <c r="N306" s="663"/>
      <c r="O306" s="663"/>
      <c r="P306" s="663"/>
      <c r="Q306" s="663"/>
      <c r="R306" s="663"/>
      <c r="S306" s="663"/>
      <c r="T306" s="663"/>
      <c r="U306" s="663"/>
      <c r="V306" s="663"/>
      <c r="W306" s="663"/>
      <c r="X306" s="663"/>
      <c r="Y306" s="663"/>
      <c r="Z306" s="663"/>
      <c r="AA306" s="663"/>
      <c r="AB306" s="663"/>
      <c r="AC306" s="663"/>
      <c r="AD306" s="663"/>
      <c r="AE306" s="663"/>
      <c r="AF306" s="663"/>
      <c r="AG306" s="663"/>
      <c r="AH306" s="663"/>
    </row>
    <row r="307" ht="15" customHeight="1">
      <c r="A307" s="668"/>
      <c r="B307" s="669">
        <v>349</v>
      </c>
      <c r="C307" s="670">
        <f>'Planner Worksheet'!G21+C306</f>
        <v>12</v>
      </c>
      <c r="D307" t="s" s="681">
        <v>217</v>
      </c>
      <c r="E307" t="s" s="681">
        <v>203</v>
      </c>
      <c r="F307" s="668"/>
      <c r="G307" s="668"/>
      <c r="H307" t="s" s="681">
        <f>IF('Planner Worksheet'!$G$16=TRUNC(B306/10),IF(I306="","",'Planner Worksheet'!$G$17+C307),"")</f>
      </c>
      <c r="I307" t="s" s="681">
        <v>283</v>
      </c>
      <c r="J307" s="668"/>
      <c r="K307" s="668"/>
      <c r="L307" s="668"/>
      <c r="M307" s="668"/>
      <c r="N307" s="668"/>
      <c r="O307" s="668"/>
      <c r="P307" s="668"/>
      <c r="Q307" s="668"/>
      <c r="R307" s="668"/>
      <c r="S307" s="668"/>
      <c r="T307" s="668"/>
      <c r="U307" s="668"/>
      <c r="V307" s="668"/>
      <c r="W307" s="668"/>
      <c r="X307" s="668"/>
      <c r="Y307" s="668"/>
      <c r="Z307" s="668"/>
      <c r="AA307" s="668"/>
      <c r="AB307" s="668"/>
      <c r="AC307" s="668"/>
      <c r="AD307" s="668"/>
      <c r="AE307" s="668"/>
      <c r="AF307" s="668"/>
      <c r="AG307" s="668"/>
      <c r="AH307" s="668"/>
    </row>
    <row r="308" ht="15" customHeight="1">
      <c r="A308" s="676">
        <f>IF(A314&gt;68.13,-3,-2)</f>
      </c>
      <c r="B308" s="673">
        <v>351</v>
      </c>
      <c r="C308" s="674">
        <v>-12</v>
      </c>
      <c r="D308" t="s" s="675">
        <f>"Inject "&amp;'Planner Worksheet'!L20&amp;" (PG) to all females."</f>
        <v>334</v>
      </c>
      <c r="E308" s="676"/>
      <c r="F308" s="676"/>
      <c r="G308" s="676"/>
      <c r="H308" t="s" s="675">
        <f>IF('Planner Worksheet'!$G$16=TRUNC(B308/10),IF(I308="","",'Planner Worksheet'!$G$17+C308),"")</f>
      </c>
      <c r="I308" t="s" s="675">
        <f>"* Inject "&amp;'Planner Worksheet'!L20&amp;"- all females"</f>
        <v>335</v>
      </c>
      <c r="J308" s="676"/>
      <c r="K308" s="676"/>
      <c r="L308" s="676"/>
      <c r="M308" s="676"/>
      <c r="N308" s="676"/>
      <c r="O308" s="676"/>
      <c r="P308" s="676"/>
      <c r="Q308" s="676"/>
      <c r="R308" s="676"/>
      <c r="S308" s="676"/>
      <c r="T308" s="676"/>
      <c r="U308" s="676"/>
      <c r="V308" s="676"/>
      <c r="W308" s="676"/>
      <c r="X308" s="676"/>
      <c r="Y308" s="676"/>
      <c r="Z308" s="676"/>
      <c r="AA308" s="676"/>
      <c r="AB308" s="676"/>
      <c r="AC308" s="676"/>
      <c r="AD308" s="676"/>
      <c r="AE308" s="676"/>
      <c r="AF308" s="676"/>
      <c r="AG308" s="676"/>
      <c r="AH308" s="676"/>
    </row>
    <row r="309" ht="15" customHeight="1">
      <c r="A309" s="663"/>
      <c r="B309" s="664">
        <v>352</v>
      </c>
      <c r="C309" s="665">
        <v>-9</v>
      </c>
      <c r="D309" t="s" s="666">
        <v>209</v>
      </c>
      <c r="E309" t="s" s="666">
        <f>"Inject "&amp;'Planner Worksheet'!L19&amp;" (GnRH) &amp; inseminate for each female not bred."</f>
        <v>425</v>
      </c>
      <c r="F309" s="683"/>
      <c r="G309" s="663"/>
      <c r="H309" t="s" s="666">
        <f>IF('Planner Worksheet'!$G$16=TRUNC(B309/10),IF(I309="","",'Planner Worksheet'!$G$17+C309),"")</f>
      </c>
      <c r="I309" t="s" s="666">
        <f>"* Insert CIDR device+ inject "&amp;'Planner Worksheet'!L19&amp;"  in nonbred females "</f>
        <v>433</v>
      </c>
      <c r="J309" s="663"/>
      <c r="K309" s="663"/>
      <c r="L309" s="663"/>
      <c r="M309" s="663"/>
      <c r="N309" s="663"/>
      <c r="O309" s="663"/>
      <c r="P309" s="663"/>
      <c r="Q309" s="663"/>
      <c r="R309" s="663"/>
      <c r="S309" s="663"/>
      <c r="T309" s="663"/>
      <c r="U309" s="663"/>
      <c r="V309" s="663"/>
      <c r="W309" s="663"/>
      <c r="X309" s="663"/>
      <c r="Y309" s="663"/>
      <c r="Z309" s="663"/>
      <c r="AA309" s="663"/>
      <c r="AB309" s="663"/>
      <c r="AC309" s="663"/>
      <c r="AD309" s="663"/>
      <c r="AE309" s="663"/>
      <c r="AF309" s="663"/>
      <c r="AG309" s="663"/>
      <c r="AH309" s="663"/>
    </row>
    <row r="310" ht="15" customHeight="1">
      <c r="A310" s="663">
        <f>A311-69/24</f>
      </c>
      <c r="B310" s="664">
        <v>353</v>
      </c>
      <c r="C310" s="678">
        <f>A308</f>
      </c>
      <c r="D310" t="s" s="666">
        <v>212</v>
      </c>
      <c r="E310" t="s" s="666">
        <f>"Inject "&amp;'Planner Worksheet'!L20&amp;" (PG) &amp; inseminate for each female not bred."</f>
        <v>427</v>
      </c>
      <c r="F310" s="663">
        <f>'Planner Worksheet'!G18+TIME(3,0,0)</f>
      </c>
      <c r="G310" s="663"/>
      <c r="H310" t="s" s="666">
        <f>IF('Planner Worksheet'!$G$16=TRUNC(B310/10),IF(I310="","",'Planner Worksheet'!$G$17+C310),"")</f>
      </c>
      <c r="I310" t="s" s="666">
        <f>"* Remove CIDR device+ inject "&amp;'Planner Worksheet'!L20&amp;" in nonbred females "</f>
        <v>434</v>
      </c>
      <c r="J310" s="663"/>
      <c r="K310" s="663"/>
      <c r="L310" s="663"/>
      <c r="M310" s="663"/>
      <c r="N310" s="663"/>
      <c r="O310" s="663"/>
      <c r="P310" s="663"/>
      <c r="Q310" s="663"/>
      <c r="R310" s="663"/>
      <c r="S310" s="663"/>
      <c r="T310" s="663"/>
      <c r="U310" s="663"/>
      <c r="V310" s="663"/>
      <c r="W310" s="663"/>
      <c r="X310" s="663"/>
      <c r="Y310" s="663"/>
      <c r="Z310" s="663"/>
      <c r="AA310" s="663"/>
      <c r="AB310" s="663"/>
      <c r="AC310" s="663"/>
      <c r="AD310" s="663"/>
      <c r="AE310" s="663"/>
      <c r="AF310" s="663"/>
      <c r="AG310" s="663"/>
      <c r="AH310" s="663"/>
    </row>
    <row r="311" ht="15" customHeight="1">
      <c r="A311" s="663">
        <f t="shared" si="107"/>
      </c>
      <c r="B311" s="664">
        <v>354</v>
      </c>
      <c r="C311" s="665">
        <v>0</v>
      </c>
      <c r="D311" t="s" s="666">
        <f>"Inject "&amp;'Planner Worksheet'!L19&amp;" (GnRH) to all females."</f>
        <v>382</v>
      </c>
      <c r="E311" t="s" s="666">
        <v>216</v>
      </c>
      <c r="F311" s="663">
        <f>'Calendar'!D10</f>
      </c>
      <c r="G311" s="663">
        <f>'Calendar'!G10</f>
      </c>
      <c r="H311" t="s" s="666">
        <f>IF('Planner Worksheet'!$G$16=TRUNC(B311/10),IF(I312="","",'Planner Worksheet'!$G$17+C311),"")</f>
      </c>
      <c r="I311" t="s" s="666">
        <f>"** Inject "&amp;'Planner Worksheet'!L19&amp;" &amp; Fixed Time AI (69 hrs after "&amp;'Planner Worksheet'!L20&amp;" )"</f>
        <v>436</v>
      </c>
      <c r="J311" s="663"/>
      <c r="K311" s="663"/>
      <c r="L311" s="663"/>
      <c r="M311" s="663"/>
      <c r="N311" s="663"/>
      <c r="O311" s="663"/>
      <c r="P311" s="663"/>
      <c r="Q311" s="663"/>
      <c r="R311" s="663"/>
      <c r="S311" s="663"/>
      <c r="T311" s="663"/>
      <c r="U311" s="663"/>
      <c r="V311" s="663"/>
      <c r="W311" s="663"/>
      <c r="X311" s="663"/>
      <c r="Y311" s="663"/>
      <c r="Z311" s="663"/>
      <c r="AA311" s="663"/>
      <c r="AB311" s="663"/>
      <c r="AC311" s="663"/>
      <c r="AD311" s="663"/>
      <c r="AE311" s="663"/>
      <c r="AF311" s="663"/>
      <c r="AG311" s="663"/>
      <c r="AH311" s="663"/>
    </row>
    <row r="312" ht="15" customHeight="1">
      <c r="A312" s="663">
        <f t="shared" si="166"/>
      </c>
      <c r="B312" s="664">
        <v>355</v>
      </c>
      <c r="C312" s="665">
        <f>'Planner Worksheet'!G21</f>
        <v>0</v>
      </c>
      <c r="D312" t="s" s="666">
        <v>217</v>
      </c>
      <c r="E312" t="s" s="666">
        <v>203</v>
      </c>
      <c r="F312" s="663"/>
      <c r="G312" s="663"/>
      <c r="H312" t="s" s="666">
        <f>IF('Planner Worksheet'!$G$16=TRUNC(B312/10),IF(I312="","",'Planner Worksheet'!$G$17+C312),"")</f>
      </c>
      <c r="I312" t="s" s="666">
        <v>283</v>
      </c>
      <c r="J312" s="663"/>
      <c r="K312" s="663"/>
      <c r="L312" s="663"/>
      <c r="M312" s="663"/>
      <c r="N312" s="663"/>
      <c r="O312" s="663"/>
      <c r="P312" s="663"/>
      <c r="Q312" s="663"/>
      <c r="R312" s="663"/>
      <c r="S312" s="663"/>
      <c r="T312" s="663"/>
      <c r="U312" s="663"/>
      <c r="V312" s="663"/>
      <c r="W312" s="663"/>
      <c r="X312" s="663"/>
      <c r="Y312" s="663"/>
      <c r="Z312" s="663"/>
      <c r="AA312" s="663"/>
      <c r="AB312" s="663"/>
      <c r="AC312" s="663"/>
      <c r="AD312" s="663"/>
      <c r="AE312" s="663"/>
      <c r="AF312" s="663"/>
      <c r="AG312" s="663"/>
      <c r="AH312" s="663"/>
    </row>
    <row r="313" ht="15" customHeight="1">
      <c r="A313" s="663">
        <f>A312-A311</f>
      </c>
      <c r="B313" s="664">
        <v>356</v>
      </c>
      <c r="C313" s="665">
        <v>21</v>
      </c>
      <c r="D313" t="s" s="666">
        <v>218</v>
      </c>
      <c r="E313" s="663"/>
      <c r="F313" s="663"/>
      <c r="G313" s="663"/>
      <c r="H313" s="663">
        <f>21+H311</f>
      </c>
      <c r="I313" t="s" s="666">
        <v>289</v>
      </c>
      <c r="J313" s="663"/>
      <c r="K313" s="663"/>
      <c r="L313" s="663"/>
      <c r="M313" s="663"/>
      <c r="N313" s="663"/>
      <c r="O313" s="663"/>
      <c r="P313" s="663"/>
      <c r="Q313" s="663"/>
      <c r="R313" s="663"/>
      <c r="S313" s="663"/>
      <c r="T313" s="663"/>
      <c r="U313" s="663"/>
      <c r="V313" s="663"/>
      <c r="W313" s="663"/>
      <c r="X313" s="663"/>
      <c r="Y313" s="663"/>
      <c r="Z313" s="663"/>
      <c r="AA313" s="663"/>
      <c r="AB313" s="663"/>
      <c r="AC313" s="663"/>
      <c r="AD313" s="663"/>
      <c r="AE313" s="663"/>
      <c r="AF313" s="663"/>
      <c r="AG313" s="663"/>
      <c r="AH313" s="663"/>
    </row>
    <row r="314" ht="15" customHeight="1">
      <c r="A314" s="663">
        <f>69-'Planner Worksheet'!H18</f>
      </c>
      <c r="B314" s="664">
        <v>357</v>
      </c>
      <c r="C314" s="665"/>
      <c r="D314" s="663"/>
      <c r="E314" s="663"/>
      <c r="F314" s="663"/>
      <c r="G314" s="663"/>
      <c r="H314" s="667"/>
      <c r="I314" s="663"/>
      <c r="J314" s="663"/>
      <c r="K314" s="663"/>
      <c r="L314" s="663"/>
      <c r="M314" s="663"/>
      <c r="N314" s="663"/>
      <c r="O314" s="663"/>
      <c r="P314" s="663"/>
      <c r="Q314" s="663"/>
      <c r="R314" s="663"/>
      <c r="S314" s="663"/>
      <c r="T314" s="663"/>
      <c r="U314" s="663"/>
      <c r="V314" s="663"/>
      <c r="W314" s="663"/>
      <c r="X314" s="663"/>
      <c r="Y314" s="663"/>
      <c r="Z314" s="663"/>
      <c r="AA314" s="663"/>
      <c r="AB314" s="663"/>
      <c r="AC314" s="663"/>
      <c r="AD314" s="663"/>
      <c r="AE314" s="663"/>
      <c r="AF314" s="663"/>
      <c r="AG314" s="663"/>
      <c r="AH314" s="663"/>
    </row>
    <row r="315" ht="15" customHeight="1">
      <c r="A315" s="663"/>
      <c r="B315" s="664">
        <v>358</v>
      </c>
      <c r="C315" s="665"/>
      <c r="D315" s="663"/>
      <c r="E315" s="663"/>
      <c r="F315" s="683"/>
      <c r="G315" s="687"/>
      <c r="H315" s="667"/>
      <c r="I315" s="663"/>
      <c r="J315" s="663"/>
      <c r="K315" s="663"/>
      <c r="L315" s="663"/>
      <c r="M315" s="663"/>
      <c r="N315" s="663"/>
      <c r="O315" s="663"/>
      <c r="P315" s="663"/>
      <c r="Q315" s="663"/>
      <c r="R315" s="663"/>
      <c r="S315" s="663"/>
      <c r="T315" s="663"/>
      <c r="U315" s="663"/>
      <c r="V315" s="663"/>
      <c r="W315" s="663"/>
      <c r="X315" s="663"/>
      <c r="Y315" s="663"/>
      <c r="Z315" s="663"/>
      <c r="AA315" s="663"/>
      <c r="AB315" s="663"/>
      <c r="AC315" s="663"/>
      <c r="AD315" s="663"/>
      <c r="AE315" s="663"/>
      <c r="AF315" s="663"/>
      <c r="AG315" s="663"/>
      <c r="AH315" s="663"/>
    </row>
    <row r="316" ht="15" customHeight="1">
      <c r="A316" s="668"/>
      <c r="B316" s="669">
        <v>359</v>
      </c>
      <c r="C316" s="670"/>
      <c r="D316" s="668"/>
      <c r="E316" s="668"/>
      <c r="F316" s="668"/>
      <c r="G316" s="668"/>
      <c r="H316" s="671"/>
      <c r="I316" s="668"/>
      <c r="J316" s="668"/>
      <c r="K316" s="668"/>
      <c r="L316" s="668"/>
      <c r="M316" s="668"/>
      <c r="N316" s="668"/>
      <c r="O316" s="668"/>
      <c r="P316" s="668"/>
      <c r="Q316" s="668"/>
      <c r="R316" s="668"/>
      <c r="S316" s="668"/>
      <c r="T316" s="668"/>
      <c r="U316" s="668"/>
      <c r="V316" s="668"/>
      <c r="W316" s="668"/>
      <c r="X316" s="668"/>
      <c r="Y316" s="668"/>
      <c r="Z316" s="668"/>
      <c r="AA316" s="668"/>
      <c r="AB316" s="668"/>
      <c r="AC316" s="668"/>
      <c r="AD316" s="668"/>
      <c r="AE316" s="668"/>
      <c r="AF316" s="668"/>
      <c r="AG316" s="668"/>
      <c r="AH316" s="668"/>
    </row>
    <row r="317" ht="15" customHeight="1">
      <c r="A317" s="676">
        <f>IF(A323&gt;65.25,-3,-2)</f>
      </c>
      <c r="B317" s="673">
        <v>361</v>
      </c>
      <c r="C317" s="674">
        <v>-12</v>
      </c>
      <c r="D317" t="s" s="675">
        <f>"Inject "&amp;'Planner Worksheet'!L20&amp;" (PG) to all females."</f>
        <v>334</v>
      </c>
      <c r="E317" s="676"/>
      <c r="F317" s="676"/>
      <c r="G317" s="676"/>
      <c r="H317" t="s" s="675">
        <f>IF('Planner Worksheet'!$G$16=TRUNC(B317/10),IF(I317="","",'Planner Worksheet'!$G$17+C317),"")</f>
      </c>
      <c r="I317" t="s" s="675">
        <f>"* Inject "&amp;'Planner Worksheet'!L20&amp;"- all females"</f>
        <v>335</v>
      </c>
      <c r="J317" s="676"/>
      <c r="K317" s="676"/>
      <c r="L317" s="676"/>
      <c r="M317" s="676"/>
      <c r="N317" s="676"/>
      <c r="O317" s="676"/>
      <c r="P317" s="676"/>
      <c r="Q317" s="676"/>
      <c r="R317" s="676"/>
      <c r="S317" s="676"/>
      <c r="T317" s="676"/>
      <c r="U317" s="676"/>
      <c r="V317" s="676"/>
      <c r="W317" s="676"/>
      <c r="X317" s="676"/>
      <c r="Y317" s="676"/>
      <c r="Z317" s="676"/>
      <c r="AA317" s="676"/>
      <c r="AB317" s="676"/>
      <c r="AC317" s="676"/>
      <c r="AD317" s="676"/>
      <c r="AE317" s="676"/>
      <c r="AF317" s="676"/>
      <c r="AG317" s="676"/>
      <c r="AH317" s="676"/>
    </row>
    <row r="318" ht="15" customHeight="1">
      <c r="A318" s="663">
        <f>ROUNDUP((A320-A319)*-1,0)</f>
      </c>
      <c r="B318" s="664">
        <v>362</v>
      </c>
      <c r="C318" s="665">
        <v>-9</v>
      </c>
      <c r="D318" t="s" s="666">
        <v>209</v>
      </c>
      <c r="E318" t="s" s="666">
        <f>"Inject "&amp;'Planner Worksheet'!L19&amp;" (GnRH) &amp; inseminate for each female not bred."</f>
        <v>425</v>
      </c>
      <c r="F318" s="683"/>
      <c r="G318" s="663"/>
      <c r="H318" t="s" s="666">
        <f>IF('Planner Worksheet'!$G$16=TRUNC(B318/10),IF(I318="","",'Planner Worksheet'!$G$17+C318),"")</f>
      </c>
      <c r="I318" t="s" s="666">
        <f>"* Insert CIDR device+ inject "&amp;'Planner Worksheet'!L19&amp;"  in nonbred females "</f>
        <v>433</v>
      </c>
      <c r="J318" s="663"/>
      <c r="K318" s="663"/>
      <c r="L318" s="663"/>
      <c r="M318" s="663"/>
      <c r="N318" s="663"/>
      <c r="O318" s="663"/>
      <c r="P318" s="663"/>
      <c r="Q318" s="663"/>
      <c r="R318" s="663"/>
      <c r="S318" s="663"/>
      <c r="T318" s="663"/>
      <c r="U318" s="663"/>
      <c r="V318" s="663"/>
      <c r="W318" s="663"/>
      <c r="X318" s="663"/>
      <c r="Y318" s="663"/>
      <c r="Z318" s="663"/>
      <c r="AA318" s="663"/>
      <c r="AB318" s="663"/>
      <c r="AC318" s="663"/>
      <c r="AD318" s="663"/>
      <c r="AE318" s="663"/>
      <c r="AF318" s="663"/>
      <c r="AG318" s="663"/>
      <c r="AH318" s="663"/>
    </row>
    <row r="319" ht="15" customHeight="1">
      <c r="A319" s="663">
        <f>A320-66/24</f>
      </c>
      <c r="B319" s="664">
        <v>363</v>
      </c>
      <c r="C319" s="678">
        <f>A317</f>
      </c>
      <c r="D319" t="s" s="666">
        <v>212</v>
      </c>
      <c r="E319" t="s" s="666">
        <f>"Inject "&amp;'Planner Worksheet'!L20&amp;" (GnRH) &amp; inseminate for each female not bred."</f>
        <v>437</v>
      </c>
      <c r="F319" s="663">
        <f>'Planner Worksheet'!G18+TIME(6,0,0)</f>
      </c>
      <c r="G319" s="663"/>
      <c r="H319" t="s" s="666">
        <f>IF('Planner Worksheet'!$G$16=TRUNC(B319/10),IF(I319="","",'Planner Worksheet'!$G$17+C319),"")</f>
      </c>
      <c r="I319" t="s" s="666">
        <f>"* Remove CIDR device+ inject "&amp;'Planner Worksheet'!L20&amp;" in nonbred females "</f>
        <v>434</v>
      </c>
      <c r="J319" s="663"/>
      <c r="K319" s="663"/>
      <c r="L319" s="663"/>
      <c r="M319" s="663"/>
      <c r="N319" s="663"/>
      <c r="O319" s="663"/>
      <c r="P319" s="663"/>
      <c r="Q319" s="663"/>
      <c r="R319" s="663"/>
      <c r="S319" s="663"/>
      <c r="T319" s="663"/>
      <c r="U319" s="663"/>
      <c r="V319" s="663"/>
      <c r="W319" s="663"/>
      <c r="X319" s="663"/>
      <c r="Y319" s="663"/>
      <c r="Z319" s="663"/>
      <c r="AA319" s="663"/>
      <c r="AB319" s="663"/>
      <c r="AC319" s="663"/>
      <c r="AD319" s="663"/>
      <c r="AE319" s="663"/>
      <c r="AF319" s="663"/>
      <c r="AG319" s="663"/>
      <c r="AH319" s="663"/>
    </row>
    <row r="320" ht="15" customHeight="1">
      <c r="A320" s="663">
        <f t="shared" si="107"/>
      </c>
      <c r="B320" s="664">
        <v>364</v>
      </c>
      <c r="C320" s="665">
        <v>0</v>
      </c>
      <c r="D320" t="s" s="666">
        <f>"Inject "&amp;'Planner Worksheet'!L19&amp;" (GnRH) to all females."</f>
        <v>382</v>
      </c>
      <c r="E320" t="s" s="666">
        <v>216</v>
      </c>
      <c r="F320" s="663">
        <f>'Calendar'!D10</f>
      </c>
      <c r="G320" s="663">
        <f>'Calendar'!G10</f>
      </c>
      <c r="H320" t="s" s="666">
        <f>IF('Planner Worksheet'!$G$16=TRUNC(B320/10),IF(I321="","",'Planner Worksheet'!$G$17+C320),"")</f>
      </c>
      <c r="I320" t="s" s="666">
        <f>"** Inject "&amp;'Planner Worksheet'!L19&amp;" &amp; Fixed Time AI (66 hrs after "&amp;'Planner Worksheet'!L20&amp;" )"</f>
        <v>421</v>
      </c>
      <c r="J320" s="663"/>
      <c r="K320" s="663"/>
      <c r="L320" s="663"/>
      <c r="M320" s="663"/>
      <c r="N320" s="663"/>
      <c r="O320" s="663"/>
      <c r="P320" s="663"/>
      <c r="Q320" s="663"/>
      <c r="R320" s="663"/>
      <c r="S320" s="663"/>
      <c r="T320" s="663"/>
      <c r="U320" s="663"/>
      <c r="V320" s="663"/>
      <c r="W320" s="663"/>
      <c r="X320" s="663"/>
      <c r="Y320" s="663"/>
      <c r="Z320" s="663"/>
      <c r="AA320" s="663"/>
      <c r="AB320" s="663"/>
      <c r="AC320" s="663"/>
      <c r="AD320" s="663"/>
      <c r="AE320" s="663"/>
      <c r="AF320" s="663"/>
      <c r="AG320" s="663"/>
      <c r="AH320" s="663"/>
    </row>
    <row r="321" ht="15" customHeight="1">
      <c r="A321" s="663">
        <f t="shared" si="166"/>
      </c>
      <c r="B321" s="664">
        <v>365</v>
      </c>
      <c r="C321" s="665">
        <f>'Planner Worksheet'!G21</f>
        <v>0</v>
      </c>
      <c r="D321" t="s" s="666">
        <v>217</v>
      </c>
      <c r="E321" t="s" s="666">
        <v>203</v>
      </c>
      <c r="F321" s="663"/>
      <c r="G321" s="663"/>
      <c r="H321" t="s" s="666">
        <f>IF('Planner Worksheet'!$G$16=TRUNC(B321/10),IF(I321="","",'Planner Worksheet'!$G$17+C321),"")</f>
      </c>
      <c r="I321" t="s" s="666">
        <v>283</v>
      </c>
      <c r="J321" s="663"/>
      <c r="K321" s="663"/>
      <c r="L321" s="663"/>
      <c r="M321" s="663"/>
      <c r="N321" s="663"/>
      <c r="O321" s="663"/>
      <c r="P321" s="663"/>
      <c r="Q321" s="663"/>
      <c r="R321" s="663"/>
      <c r="S321" s="663"/>
      <c r="T321" s="663"/>
      <c r="U321" s="663"/>
      <c r="V321" s="663"/>
      <c r="W321" s="663"/>
      <c r="X321" s="663"/>
      <c r="Y321" s="663"/>
      <c r="Z321" s="663"/>
      <c r="AA321" s="663"/>
      <c r="AB321" s="663"/>
      <c r="AC321" s="663"/>
      <c r="AD321" s="663"/>
      <c r="AE321" s="663"/>
      <c r="AF321" s="663"/>
      <c r="AG321" s="663"/>
      <c r="AH321" s="663"/>
    </row>
    <row r="322" ht="15" customHeight="1">
      <c r="A322" s="663">
        <f>A321-A320</f>
      </c>
      <c r="B322" s="664">
        <v>366</v>
      </c>
      <c r="C322" s="665">
        <v>21</v>
      </c>
      <c r="D322" t="s" s="666">
        <v>218</v>
      </c>
      <c r="E322" s="663"/>
      <c r="F322" s="663"/>
      <c r="G322" s="663"/>
      <c r="H322" s="663">
        <f>21+H320</f>
      </c>
      <c r="I322" t="s" s="666">
        <v>289</v>
      </c>
      <c r="J322" s="663"/>
      <c r="K322" s="663"/>
      <c r="L322" s="663"/>
      <c r="M322" s="663"/>
      <c r="N322" s="663"/>
      <c r="O322" s="663"/>
      <c r="P322" s="663"/>
      <c r="Q322" s="663"/>
      <c r="R322" s="663"/>
      <c r="S322" s="663"/>
      <c r="T322" s="663"/>
      <c r="U322" s="663"/>
      <c r="V322" s="663"/>
      <c r="W322" s="663"/>
      <c r="X322" s="663"/>
      <c r="Y322" s="663"/>
      <c r="Z322" s="663"/>
      <c r="AA322" s="663"/>
      <c r="AB322" s="663"/>
      <c r="AC322" s="663"/>
      <c r="AD322" s="663"/>
      <c r="AE322" s="663"/>
      <c r="AF322" s="663"/>
      <c r="AG322" s="663"/>
      <c r="AH322" s="663"/>
    </row>
    <row r="323" ht="15" customHeight="1">
      <c r="A323" s="663">
        <f>66-'Planner Worksheet'!H18</f>
      </c>
      <c r="B323" s="664">
        <v>367</v>
      </c>
      <c r="C323" s="665"/>
      <c r="D323" s="663"/>
      <c r="E323" s="663"/>
      <c r="F323" s="663"/>
      <c r="G323" s="663"/>
      <c r="H323" s="667"/>
      <c r="I323" s="663"/>
      <c r="J323" s="663"/>
      <c r="K323" s="663"/>
      <c r="L323" s="663"/>
      <c r="M323" s="663"/>
      <c r="N323" s="663"/>
      <c r="O323" s="663"/>
      <c r="P323" s="663"/>
      <c r="Q323" s="663"/>
      <c r="R323" s="663"/>
      <c r="S323" s="663"/>
      <c r="T323" s="663"/>
      <c r="U323" s="663"/>
      <c r="V323" s="663"/>
      <c r="W323" s="663"/>
      <c r="X323" s="663"/>
      <c r="Y323" s="663"/>
      <c r="Z323" s="663"/>
      <c r="AA323" s="663"/>
      <c r="AB323" s="663"/>
      <c r="AC323" s="663"/>
      <c r="AD323" s="663"/>
      <c r="AE323" s="663"/>
      <c r="AF323" s="663"/>
      <c r="AG323" s="663"/>
      <c r="AH323" s="663"/>
    </row>
    <row r="324" ht="15" customHeight="1">
      <c r="A324" s="663"/>
      <c r="B324" s="664">
        <v>368</v>
      </c>
      <c r="C324" s="665"/>
      <c r="D324" s="663"/>
      <c r="E324" s="663"/>
      <c r="F324" s="683"/>
      <c r="G324" s="687"/>
      <c r="H324" s="667"/>
      <c r="I324" s="663"/>
      <c r="J324" s="663"/>
      <c r="K324" s="663"/>
      <c r="L324" s="663"/>
      <c r="M324" s="663"/>
      <c r="N324" s="663"/>
      <c r="O324" s="663"/>
      <c r="P324" s="663"/>
      <c r="Q324" s="663"/>
      <c r="R324" s="663"/>
      <c r="S324" s="663"/>
      <c r="T324" s="663"/>
      <c r="U324" s="663"/>
      <c r="V324" s="663"/>
      <c r="W324" s="663"/>
      <c r="X324" s="663"/>
      <c r="Y324" s="663"/>
      <c r="Z324" s="663"/>
      <c r="AA324" s="663"/>
      <c r="AB324" s="663"/>
      <c r="AC324" s="663"/>
      <c r="AD324" s="663"/>
      <c r="AE324" s="663"/>
      <c r="AF324" s="663"/>
      <c r="AG324" s="663"/>
      <c r="AH324" s="663"/>
    </row>
    <row r="325" ht="15" customHeight="1">
      <c r="A325" s="668"/>
      <c r="B325" s="669">
        <v>369</v>
      </c>
      <c r="C325" s="670"/>
      <c r="D325" s="668"/>
      <c r="E325" s="668"/>
      <c r="F325" s="668"/>
      <c r="G325" s="668"/>
      <c r="H325" s="671"/>
      <c r="I325" s="668"/>
      <c r="J325" s="668"/>
      <c r="K325" s="668"/>
      <c r="L325" s="668"/>
      <c r="M325" s="668"/>
      <c r="N325" s="668"/>
      <c r="O325" s="668"/>
      <c r="P325" s="668"/>
      <c r="Q325" s="668"/>
      <c r="R325" s="668"/>
      <c r="S325" s="668"/>
      <c r="T325" s="668"/>
      <c r="U325" s="668"/>
      <c r="V325" s="668"/>
      <c r="W325" s="668"/>
      <c r="X325" s="668"/>
      <c r="Y325" s="668"/>
      <c r="Z325" s="668"/>
      <c r="AA325" s="668"/>
      <c r="AB325" s="668"/>
      <c r="AC325" s="668"/>
      <c r="AD325" s="668"/>
      <c r="AE325" s="668"/>
      <c r="AF325" s="668"/>
      <c r="AG325" s="668"/>
      <c r="AH325" s="668"/>
    </row>
    <row r="326" ht="15" customHeight="1">
      <c r="A326" s="676">
        <f>IF(A332&gt;65.25,-3,-2)</f>
      </c>
      <c r="B326" s="673">
        <v>371</v>
      </c>
      <c r="C326" s="677">
        <f>C327-5</f>
      </c>
      <c r="D326" t="s" s="675">
        <v>209</v>
      </c>
      <c r="E326" t="s" s="675">
        <f>"Inject "&amp;'Planner Worksheet'!L19&amp;" (GnRH) to all females."</f>
        <v>382</v>
      </c>
      <c r="F326" t="s" s="675">
        <f>"Inject "&amp;'Planner Worksheet'!L20&amp;" (PG) to all females."</f>
        <v>334</v>
      </c>
      <c r="G326" s="676"/>
      <c r="H326" t="s" s="675">
        <f>IF('Planner Worksheet'!$G$16=TRUNC(B326/10),IF(I326="","",'Planner Worksheet'!$G$17+C326),"")</f>
      </c>
      <c r="I326" t="s" s="675">
        <v>397</v>
      </c>
      <c r="J326" t="s" s="675">
        <f>"* Inject "&amp;'Planner Worksheet'!L19&amp;" to all females"</f>
        <v>383</v>
      </c>
      <c r="K326" t="s" s="675">
        <f>"* inject "&amp;'Planner Worksheet'!L20&amp;"- all females"</f>
        <v>379</v>
      </c>
      <c r="L326" s="676"/>
      <c r="M326" s="676"/>
      <c r="N326" s="676"/>
      <c r="O326" s="676"/>
      <c r="P326" s="676"/>
      <c r="Q326" s="676"/>
      <c r="R326" s="676"/>
      <c r="S326" s="676"/>
      <c r="T326" s="676"/>
      <c r="U326" s="676"/>
      <c r="V326" s="676"/>
      <c r="W326" s="676"/>
      <c r="X326" s="676"/>
      <c r="Y326" s="676"/>
      <c r="Z326" s="676"/>
      <c r="AA326" s="676"/>
      <c r="AB326" s="676"/>
      <c r="AC326" s="676"/>
      <c r="AD326" s="676"/>
      <c r="AE326" s="676"/>
      <c r="AF326" s="676"/>
      <c r="AG326" s="676"/>
      <c r="AH326" s="676"/>
    </row>
    <row r="327" ht="15" customHeight="1">
      <c r="A327" s="663">
        <f>A328-66/24</f>
      </c>
      <c r="B327" s="664">
        <v>372</v>
      </c>
      <c r="C327" s="678">
        <f>A326</f>
      </c>
      <c r="D327" t="s" s="666">
        <v>212</v>
      </c>
      <c r="E327" t="s" s="666">
        <f>"Inject "&amp;'Planner Worksheet'!L20&amp;" (PG) to all females at: "</f>
        <v>386</v>
      </c>
      <c r="F327" s="663">
        <f>'Planner Worksheet'!G18+TIME(6,0,0)</f>
      </c>
      <c r="G327" t="s" s="666">
        <v>214</v>
      </c>
      <c r="H327" t="s" s="666">
        <f>IF('Planner Worksheet'!$G$16=TRUNC(B327/10),IF(I327="","",'Planner Worksheet'!$G$17+C327),"")</f>
      </c>
      <c r="I327" t="s" s="666">
        <f>"* Remove CIDRs &amp; inject "&amp;'Planner Worksheet'!L20</f>
        <v>416</v>
      </c>
      <c r="J327" t="s" s="666">
        <f>"* 8 hrs later give 2nd "&amp;'Planner Worksheet'!L20&amp;" injection"</f>
        <v>438</v>
      </c>
      <c r="K327" s="663"/>
      <c r="L327" s="663"/>
      <c r="M327" s="663"/>
      <c r="N327" s="663"/>
      <c r="O327" s="663"/>
      <c r="P327" s="663"/>
      <c r="Q327" s="663"/>
      <c r="R327" s="663"/>
      <c r="S327" s="663"/>
      <c r="T327" s="663"/>
      <c r="U327" s="663"/>
      <c r="V327" s="663"/>
      <c r="W327" s="663"/>
      <c r="X327" s="663"/>
      <c r="Y327" s="663"/>
      <c r="Z327" s="663"/>
      <c r="AA327" s="663"/>
      <c r="AB327" s="663"/>
      <c r="AC327" s="663"/>
      <c r="AD327" s="663"/>
      <c r="AE327" s="663"/>
      <c r="AF327" s="663"/>
      <c r="AG327" s="663"/>
      <c r="AH327" s="663"/>
    </row>
    <row r="328" ht="15" customHeight="1">
      <c r="A328" s="663">
        <f t="shared" si="107"/>
      </c>
      <c r="B328" s="664">
        <v>373</v>
      </c>
      <c r="C328" s="665">
        <v>0</v>
      </c>
      <c r="D328" t="s" s="666">
        <f>"Inject "&amp;'Planner Worksheet'!L19&amp;" (GnRH) to all females."</f>
        <v>382</v>
      </c>
      <c r="E328" t="s" s="666">
        <v>216</v>
      </c>
      <c r="F328" s="663">
        <f>'Calendar'!D10</f>
      </c>
      <c r="G328" s="663">
        <f>'Calendar'!G10</f>
      </c>
      <c r="H328" t="s" s="666">
        <f>IF('Planner Worksheet'!$G$16=TRUNC(B328/10),IF(I328="","",'Planner Worksheet'!$G$17+C328),"")</f>
      </c>
      <c r="I328" t="s" s="666">
        <f>"** Inject "&amp;'Planner Worksheet'!L19&amp;" &amp; Fixed Time AI (66 hrs after "&amp;'Planner Worksheet'!L20&amp;" )"</f>
        <v>421</v>
      </c>
      <c r="J328" s="663"/>
      <c r="K328" s="663"/>
      <c r="L328" s="663"/>
      <c r="M328" s="663"/>
      <c r="N328" s="663"/>
      <c r="O328" s="663"/>
      <c r="P328" s="663"/>
      <c r="Q328" s="663"/>
      <c r="R328" s="663"/>
      <c r="S328" s="663"/>
      <c r="T328" s="663"/>
      <c r="U328" s="663"/>
      <c r="V328" s="663"/>
      <c r="W328" s="663"/>
      <c r="X328" s="663"/>
      <c r="Y328" s="663"/>
      <c r="Z328" s="663"/>
      <c r="AA328" s="663"/>
      <c r="AB328" s="663"/>
      <c r="AC328" s="663"/>
      <c r="AD328" s="663"/>
      <c r="AE328" s="663"/>
      <c r="AF328" s="663"/>
      <c r="AG328" s="663"/>
      <c r="AH328" s="663"/>
    </row>
    <row r="329" ht="15" customHeight="1">
      <c r="A329" s="663">
        <f t="shared" si="166"/>
      </c>
      <c r="B329" s="664">
        <v>374</v>
      </c>
      <c r="C329" s="665">
        <f>'Planner Worksheet'!G21</f>
        <v>0</v>
      </c>
      <c r="D329" t="s" s="666">
        <v>217</v>
      </c>
      <c r="E329" t="s" s="666">
        <v>203</v>
      </c>
      <c r="F329" s="663"/>
      <c r="G329" s="663"/>
      <c r="H329" t="s" s="666">
        <f>IF('Planner Worksheet'!$G$16=TRUNC(B329/10),IF(I329="","",'Planner Worksheet'!$G$17+C329),"")</f>
      </c>
      <c r="I329" t="s" s="666">
        <v>283</v>
      </c>
      <c r="J329" s="663"/>
      <c r="K329" s="663"/>
      <c r="L329" s="663"/>
      <c r="M329" s="663"/>
      <c r="N329" s="663"/>
      <c r="O329" s="663"/>
      <c r="P329" s="663"/>
      <c r="Q329" s="663"/>
      <c r="R329" s="663"/>
      <c r="S329" s="663"/>
      <c r="T329" s="663"/>
      <c r="U329" s="663"/>
      <c r="V329" s="663"/>
      <c r="W329" s="663"/>
      <c r="X329" s="663"/>
      <c r="Y329" s="663"/>
      <c r="Z329" s="663"/>
      <c r="AA329" s="663"/>
      <c r="AB329" s="663"/>
      <c r="AC329" s="663"/>
      <c r="AD329" s="663"/>
      <c r="AE329" s="663"/>
      <c r="AF329" s="663"/>
      <c r="AG329" s="663"/>
      <c r="AH329" s="663"/>
    </row>
    <row r="330" ht="15" customHeight="1">
      <c r="A330" s="663">
        <f>A329-A328</f>
      </c>
      <c r="B330" s="664">
        <v>375</v>
      </c>
      <c r="C330" s="665">
        <v>21</v>
      </c>
      <c r="D330" t="s" s="666">
        <v>218</v>
      </c>
      <c r="E330" s="663"/>
      <c r="F330" s="663"/>
      <c r="G330" s="663"/>
      <c r="H330" s="663">
        <f>21+H328</f>
      </c>
      <c r="I330" t="s" s="666">
        <v>289</v>
      </c>
      <c r="J330" s="663"/>
      <c r="K330" s="663"/>
      <c r="L330" s="663"/>
      <c r="M330" s="663"/>
      <c r="N330" s="663"/>
      <c r="O330" s="663"/>
      <c r="P330" s="663"/>
      <c r="Q330" s="663"/>
      <c r="R330" s="663"/>
      <c r="S330" s="663"/>
      <c r="T330" s="663"/>
      <c r="U330" s="663"/>
      <c r="V330" s="663"/>
      <c r="W330" s="663"/>
      <c r="X330" s="663"/>
      <c r="Y330" s="663"/>
      <c r="Z330" s="663"/>
      <c r="AA330" s="663"/>
      <c r="AB330" s="663"/>
      <c r="AC330" s="663"/>
      <c r="AD330" s="663"/>
      <c r="AE330" s="663"/>
      <c r="AF330" s="663"/>
      <c r="AG330" s="663"/>
      <c r="AH330" s="663"/>
    </row>
    <row r="331" ht="15" customHeight="1">
      <c r="A331" s="667"/>
      <c r="B331" s="664">
        <v>376</v>
      </c>
      <c r="C331" s="665"/>
      <c r="D331" s="663"/>
      <c r="E331" s="663"/>
      <c r="F331" s="663"/>
      <c r="G331" s="663"/>
      <c r="H331" s="663"/>
      <c r="I331" s="663"/>
      <c r="J331" s="663"/>
      <c r="K331" s="663"/>
      <c r="L331" s="663"/>
      <c r="M331" s="663"/>
      <c r="N331" s="663"/>
      <c r="O331" s="663"/>
      <c r="P331" s="663"/>
      <c r="Q331" s="663"/>
      <c r="R331" s="663"/>
      <c r="S331" s="663"/>
      <c r="T331" s="663"/>
      <c r="U331" s="663"/>
      <c r="V331" s="663"/>
      <c r="W331" s="663"/>
      <c r="X331" s="663"/>
      <c r="Y331" s="663"/>
      <c r="Z331" s="663"/>
      <c r="AA331" s="663"/>
      <c r="AB331" s="663"/>
      <c r="AC331" s="663"/>
      <c r="AD331" s="663"/>
      <c r="AE331" s="663"/>
      <c r="AF331" s="663"/>
      <c r="AG331" s="663"/>
      <c r="AH331" s="663"/>
    </row>
    <row r="332" ht="15" customHeight="1">
      <c r="A332" s="663">
        <f>66-'Planner Worksheet'!H18</f>
      </c>
      <c r="B332" s="664">
        <v>377</v>
      </c>
      <c r="C332" s="665"/>
      <c r="D332" s="663"/>
      <c r="E332" s="663"/>
      <c r="F332" s="663"/>
      <c r="G332" s="663"/>
      <c r="H332" s="663"/>
      <c r="I332" s="663"/>
      <c r="J332" s="663"/>
      <c r="K332" s="663"/>
      <c r="L332" s="663"/>
      <c r="M332" s="663"/>
      <c r="N332" s="663"/>
      <c r="O332" s="663"/>
      <c r="P332" s="663"/>
      <c r="Q332" s="663"/>
      <c r="R332" s="663"/>
      <c r="S332" s="663"/>
      <c r="T332" s="663"/>
      <c r="U332" s="663"/>
      <c r="V332" s="663"/>
      <c r="W332" s="663"/>
      <c r="X332" s="663"/>
      <c r="Y332" s="663"/>
      <c r="Z332" s="663"/>
      <c r="AA332" s="663"/>
      <c r="AB332" s="663"/>
      <c r="AC332" s="663"/>
      <c r="AD332" s="663"/>
      <c r="AE332" s="663"/>
      <c r="AF332" s="663"/>
      <c r="AG332" s="663"/>
      <c r="AH332" s="663"/>
    </row>
    <row r="333" ht="15" customHeight="1">
      <c r="A333" s="663"/>
      <c r="B333" s="664">
        <v>378</v>
      </c>
      <c r="C333" s="665"/>
      <c r="D333" s="663"/>
      <c r="E333" s="663"/>
      <c r="F333" s="663"/>
      <c r="G333" s="663"/>
      <c r="H333" s="663"/>
      <c r="I333" s="663"/>
      <c r="J333" s="663"/>
      <c r="K333" s="663"/>
      <c r="L333" s="663"/>
      <c r="M333" s="663"/>
      <c r="N333" s="663"/>
      <c r="O333" s="663"/>
      <c r="P333" s="663"/>
      <c r="Q333" s="663"/>
      <c r="R333" s="663"/>
      <c r="S333" s="663"/>
      <c r="T333" s="663"/>
      <c r="U333" s="663"/>
      <c r="V333" s="663"/>
      <c r="W333" s="663"/>
      <c r="X333" s="663"/>
      <c r="Y333" s="663"/>
      <c r="Z333" s="663"/>
      <c r="AA333" s="663"/>
      <c r="AB333" s="663"/>
      <c r="AC333" s="663"/>
      <c r="AD333" s="663"/>
      <c r="AE333" s="663"/>
      <c r="AF333" s="663"/>
      <c r="AG333" s="663"/>
      <c r="AH333" s="663"/>
    </row>
    <row r="334" ht="15" customHeight="1">
      <c r="A334" s="668"/>
      <c r="B334" s="669">
        <v>379</v>
      </c>
      <c r="C334" s="670"/>
      <c r="D334" s="668"/>
      <c r="E334" s="668"/>
      <c r="F334" s="668"/>
      <c r="G334" s="668"/>
      <c r="H334" s="668"/>
      <c r="I334" s="668"/>
      <c r="J334" s="668"/>
      <c r="K334" s="668"/>
      <c r="L334" s="668"/>
      <c r="M334" s="668"/>
      <c r="N334" s="668"/>
      <c r="O334" s="668"/>
      <c r="P334" s="668"/>
      <c r="Q334" s="668"/>
      <c r="R334" s="668"/>
      <c r="S334" s="668"/>
      <c r="T334" s="668"/>
      <c r="U334" s="668"/>
      <c r="V334" s="668"/>
      <c r="W334" s="668"/>
      <c r="X334" s="668"/>
      <c r="Y334" s="668"/>
      <c r="Z334" s="668"/>
      <c r="AA334" s="668"/>
      <c r="AB334" s="668"/>
      <c r="AC334" s="668"/>
      <c r="AD334" s="668"/>
      <c r="AE334" s="668"/>
      <c r="AF334" s="668"/>
      <c r="AG334" s="668"/>
      <c r="AH334" s="668"/>
    </row>
    <row r="335" ht="15" customHeight="1">
      <c r="A335" s="676">
        <f>IF(A341&gt;59.5,-3,-2)</f>
      </c>
      <c r="B335" s="673">
        <v>381</v>
      </c>
      <c r="C335" s="677">
        <f>C336-5</f>
      </c>
      <c r="D335" t="s" s="675">
        <v>209</v>
      </c>
      <c r="E335" t="s" s="675">
        <f>"Inject "&amp;'Planner Worksheet'!L19&amp;" (GnRH) to all females."</f>
        <v>382</v>
      </c>
      <c r="F335" s="676"/>
      <c r="G335" s="676"/>
      <c r="H335" t="s" s="675">
        <f>IF('Planner Worksheet'!$G$16=TRUNC(B335/10),IF(I335="","",'Planner Worksheet'!$G$17+C335),"")</f>
      </c>
      <c r="I335" t="s" s="675">
        <v>397</v>
      </c>
      <c r="J335" t="s" s="675">
        <f>"* Inject "&amp;'Planner Worksheet'!L19&amp;" to all females"</f>
        <v>383</v>
      </c>
      <c r="K335" s="676"/>
      <c r="L335" s="676"/>
      <c r="M335" s="676"/>
      <c r="N335" s="676"/>
      <c r="O335" s="676"/>
      <c r="P335" s="676"/>
      <c r="Q335" s="676"/>
      <c r="R335" s="676"/>
      <c r="S335" s="676"/>
      <c r="T335" s="676"/>
      <c r="U335" s="676"/>
      <c r="V335" s="676"/>
      <c r="W335" s="676"/>
      <c r="X335" s="676"/>
      <c r="Y335" s="676"/>
      <c r="Z335" s="676"/>
      <c r="AA335" s="676"/>
      <c r="AB335" s="676"/>
      <c r="AC335" s="676"/>
      <c r="AD335" s="676"/>
      <c r="AE335" s="676"/>
      <c r="AF335" s="676"/>
      <c r="AG335" s="676"/>
      <c r="AH335" s="676"/>
    </row>
    <row r="336" ht="15" customHeight="1">
      <c r="A336" s="663">
        <f>A337-60/24</f>
      </c>
      <c r="B336" s="664">
        <v>382</v>
      </c>
      <c r="C336" s="678">
        <f>A335</f>
      </c>
      <c r="D336" t="s" s="666">
        <v>212</v>
      </c>
      <c r="E336" t="s" s="666">
        <f>"Inject "&amp;'Planner Worksheet'!L20&amp;" (PG) to all females at: "</f>
        <v>386</v>
      </c>
      <c r="F336" s="663">
        <f>'Planner Worksheet'!G18+TIME(12,0,0)</f>
      </c>
      <c r="G336" t="s" s="666">
        <v>214</v>
      </c>
      <c r="H336" t="s" s="666">
        <f>IF('Planner Worksheet'!$G$16=TRUNC(B336/10),IF(I336="","",'Planner Worksheet'!$G$17+C336),"")</f>
      </c>
      <c r="I336" t="s" s="666">
        <f>"* Remove CIDRs &amp; inject "&amp;'Planner Worksheet'!L20</f>
        <v>416</v>
      </c>
      <c r="J336" t="s" s="666">
        <f>"* 8 hrs later give 2nd "&amp;'Planner Worksheet'!L20&amp;" injection"</f>
        <v>438</v>
      </c>
      <c r="K336" s="663"/>
      <c r="L336" s="663"/>
      <c r="M336" s="663"/>
      <c r="N336" s="663"/>
      <c r="O336" s="663"/>
      <c r="P336" s="694"/>
      <c r="Q336" s="663"/>
      <c r="R336" s="663"/>
      <c r="S336" s="663"/>
      <c r="T336" s="663"/>
      <c r="U336" s="663"/>
      <c r="V336" s="663"/>
      <c r="W336" s="663"/>
      <c r="X336" s="663"/>
      <c r="Y336" s="663"/>
      <c r="Z336" s="663"/>
      <c r="AA336" s="663"/>
      <c r="AB336" s="663"/>
      <c r="AC336" s="663"/>
      <c r="AD336" s="663"/>
      <c r="AE336" s="663"/>
      <c r="AF336" s="663"/>
      <c r="AG336" s="663"/>
      <c r="AH336" s="663"/>
    </row>
    <row r="337" ht="15" customHeight="1">
      <c r="A337" s="663">
        <f t="shared" si="107"/>
      </c>
      <c r="B337" s="664">
        <v>383</v>
      </c>
      <c r="C337" s="665">
        <v>0</v>
      </c>
      <c r="D337" t="s" s="666">
        <f>"Inject "&amp;'Planner Worksheet'!L19&amp;" (GnRH) to all females."</f>
        <v>382</v>
      </c>
      <c r="E337" t="s" s="666">
        <v>216</v>
      </c>
      <c r="F337" s="663">
        <f>'Calendar'!D10</f>
      </c>
      <c r="G337" s="663">
        <f>'Calendar'!G10</f>
      </c>
      <c r="H337" t="s" s="666">
        <f>IF('Planner Worksheet'!$G$16=TRUNC(B337/10),IF(I337="","",'Planner Worksheet'!$G$17+C337),"")</f>
      </c>
      <c r="I337" t="s" s="666">
        <f>"** Inject "&amp;'Planner Worksheet'!L19&amp;" &amp; Fixed Time AI (60 hrs after "&amp;'Planner Worksheet'!L20&amp;" )"</f>
        <v>405</v>
      </c>
      <c r="J337" s="663"/>
      <c r="K337" s="663"/>
      <c r="L337" s="663"/>
      <c r="M337" s="663"/>
      <c r="N337" s="663"/>
      <c r="O337" s="663"/>
      <c r="P337" s="663"/>
      <c r="Q337" s="663"/>
      <c r="R337" s="663"/>
      <c r="S337" s="663"/>
      <c r="T337" s="663"/>
      <c r="U337" s="663"/>
      <c r="V337" s="663"/>
      <c r="W337" s="663"/>
      <c r="X337" s="663"/>
      <c r="Y337" s="663"/>
      <c r="Z337" s="663"/>
      <c r="AA337" s="663"/>
      <c r="AB337" s="663"/>
      <c r="AC337" s="663"/>
      <c r="AD337" s="663"/>
      <c r="AE337" s="663"/>
      <c r="AF337" s="663"/>
      <c r="AG337" s="663"/>
      <c r="AH337" s="663"/>
    </row>
    <row r="338" ht="15" customHeight="1">
      <c r="A338" s="663">
        <f t="shared" si="166"/>
      </c>
      <c r="B338" s="664">
        <v>384</v>
      </c>
      <c r="C338" s="665">
        <f>'Planner Worksheet'!G21</f>
        <v>0</v>
      </c>
      <c r="D338" t="s" s="666">
        <v>217</v>
      </c>
      <c r="E338" t="s" s="666">
        <v>203</v>
      </c>
      <c r="F338" s="663"/>
      <c r="G338" s="663"/>
      <c r="H338" t="s" s="666">
        <f>IF('Planner Worksheet'!$G$16=TRUNC(B338/10),IF(I338="","",'Planner Worksheet'!$G$17+C338),"")</f>
      </c>
      <c r="I338" t="s" s="666">
        <v>283</v>
      </c>
      <c r="J338" s="663"/>
      <c r="K338" s="663"/>
      <c r="L338" s="663"/>
      <c r="M338" s="663"/>
      <c r="N338" s="663"/>
      <c r="O338" s="663"/>
      <c r="P338" s="663"/>
      <c r="Q338" s="663"/>
      <c r="R338" s="663"/>
      <c r="S338" s="663"/>
      <c r="T338" s="663"/>
      <c r="U338" s="663"/>
      <c r="V338" s="663"/>
      <c r="W338" s="663"/>
      <c r="X338" s="663"/>
      <c r="Y338" s="663"/>
      <c r="Z338" s="663"/>
      <c r="AA338" s="663"/>
      <c r="AB338" s="663"/>
      <c r="AC338" s="663"/>
      <c r="AD338" s="663"/>
      <c r="AE338" s="663"/>
      <c r="AF338" s="663"/>
      <c r="AG338" s="663"/>
      <c r="AH338" s="663"/>
    </row>
    <row r="339" ht="15" customHeight="1">
      <c r="A339" s="663">
        <f>A338-A337</f>
      </c>
      <c r="B339" s="664">
        <v>385</v>
      </c>
      <c r="C339" s="665">
        <v>21</v>
      </c>
      <c r="D339" t="s" s="666">
        <v>218</v>
      </c>
      <c r="E339" s="663"/>
      <c r="F339" s="663"/>
      <c r="G339" s="663"/>
      <c r="H339" s="663">
        <f>21+H337</f>
      </c>
      <c r="I339" t="s" s="666">
        <v>289</v>
      </c>
      <c r="J339" s="663"/>
      <c r="K339" s="663"/>
      <c r="L339" s="663"/>
      <c r="M339" s="663"/>
      <c r="N339" s="663"/>
      <c r="O339" s="663"/>
      <c r="P339" s="663"/>
      <c r="Q339" s="663"/>
      <c r="R339" s="663"/>
      <c r="S339" s="663"/>
      <c r="T339" s="663"/>
      <c r="U339" s="663"/>
      <c r="V339" s="663"/>
      <c r="W339" s="663"/>
      <c r="X339" s="663"/>
      <c r="Y339" s="663"/>
      <c r="Z339" s="663"/>
      <c r="AA339" s="663"/>
      <c r="AB339" s="663"/>
      <c r="AC339" s="663"/>
      <c r="AD339" s="663"/>
      <c r="AE339" s="663"/>
      <c r="AF339" s="663"/>
      <c r="AG339" s="663"/>
      <c r="AH339" s="663"/>
    </row>
    <row r="340" ht="15" customHeight="1">
      <c r="A340" s="667"/>
      <c r="B340" s="664">
        <v>386</v>
      </c>
      <c r="C340" s="665"/>
      <c r="D340" s="663"/>
      <c r="E340" s="663"/>
      <c r="F340" s="663"/>
      <c r="G340" s="663"/>
      <c r="H340" s="663"/>
      <c r="I340" s="663"/>
      <c r="J340" s="663"/>
      <c r="K340" s="663"/>
      <c r="L340" s="663"/>
      <c r="M340" s="663"/>
      <c r="N340" s="663"/>
      <c r="O340" s="663"/>
      <c r="P340" s="663"/>
      <c r="Q340" s="663"/>
      <c r="R340" s="663"/>
      <c r="S340" s="663"/>
      <c r="T340" s="663"/>
      <c r="U340" s="663"/>
      <c r="V340" s="663"/>
      <c r="W340" s="663"/>
      <c r="X340" s="663"/>
      <c r="Y340" s="663"/>
      <c r="Z340" s="663"/>
      <c r="AA340" s="663"/>
      <c r="AB340" s="663"/>
      <c r="AC340" s="663"/>
      <c r="AD340" s="663"/>
      <c r="AE340" s="663"/>
      <c r="AF340" s="663"/>
      <c r="AG340" s="663"/>
      <c r="AH340" s="663"/>
    </row>
    <row r="341" ht="15" customHeight="1">
      <c r="A341" s="663">
        <f>60-'Planner Worksheet'!H18</f>
      </c>
      <c r="B341" s="664">
        <v>387</v>
      </c>
      <c r="C341" s="665"/>
      <c r="D341" s="663"/>
      <c r="E341" s="663"/>
      <c r="F341" s="663"/>
      <c r="G341" s="663"/>
      <c r="H341" s="663"/>
      <c r="I341" s="663"/>
      <c r="J341" s="663"/>
      <c r="K341" s="663"/>
      <c r="L341" s="663"/>
      <c r="M341" s="663"/>
      <c r="N341" s="663"/>
      <c r="O341" s="663"/>
      <c r="P341" s="663"/>
      <c r="Q341" s="663"/>
      <c r="R341" s="663"/>
      <c r="S341" s="663"/>
      <c r="T341" s="663"/>
      <c r="U341" s="663"/>
      <c r="V341" s="663"/>
      <c r="W341" s="663"/>
      <c r="X341" s="663"/>
      <c r="Y341" s="663"/>
      <c r="Z341" s="663"/>
      <c r="AA341" s="663"/>
      <c r="AB341" s="663"/>
      <c r="AC341" s="663"/>
      <c r="AD341" s="663"/>
      <c r="AE341" s="663"/>
      <c r="AF341" s="663"/>
      <c r="AG341" s="663"/>
      <c r="AH341" s="663"/>
    </row>
    <row r="342" ht="15" customHeight="1">
      <c r="A342" s="663"/>
      <c r="B342" s="664">
        <v>388</v>
      </c>
      <c r="C342" s="665"/>
      <c r="D342" s="663"/>
      <c r="E342" s="663"/>
      <c r="F342" s="663"/>
      <c r="G342" s="663"/>
      <c r="H342" s="663"/>
      <c r="I342" s="663"/>
      <c r="J342" s="663"/>
      <c r="K342" s="663"/>
      <c r="L342" s="663"/>
      <c r="M342" s="663"/>
      <c r="N342" s="663"/>
      <c r="O342" s="663"/>
      <c r="P342" s="663"/>
      <c r="Q342" s="663"/>
      <c r="R342" s="663"/>
      <c r="S342" s="663"/>
      <c r="T342" s="663"/>
      <c r="U342" s="663"/>
      <c r="V342" s="663"/>
      <c r="W342" s="663"/>
      <c r="X342" s="663"/>
      <c r="Y342" s="663"/>
      <c r="Z342" s="663"/>
      <c r="AA342" s="663"/>
      <c r="AB342" s="663"/>
      <c r="AC342" s="663"/>
      <c r="AD342" s="663"/>
      <c r="AE342" s="663"/>
      <c r="AF342" s="663"/>
      <c r="AG342" s="663"/>
      <c r="AH342" s="663"/>
    </row>
    <row r="343" ht="15" customHeight="1">
      <c r="A343" s="668"/>
      <c r="B343" s="669">
        <v>389</v>
      </c>
      <c r="C343" s="670"/>
      <c r="D343" s="668"/>
      <c r="E343" s="668"/>
      <c r="F343" s="668"/>
      <c r="G343" s="668"/>
      <c r="H343" s="668"/>
      <c r="I343" s="668"/>
      <c r="J343" s="668"/>
      <c r="K343" s="668"/>
      <c r="L343" s="668"/>
      <c r="M343" s="668"/>
      <c r="N343" s="668"/>
      <c r="O343" s="668"/>
      <c r="P343" s="668"/>
      <c r="Q343" s="668"/>
      <c r="R343" s="668"/>
      <c r="S343" s="668"/>
      <c r="T343" s="668"/>
      <c r="U343" s="668"/>
      <c r="V343" s="668"/>
      <c r="W343" s="668"/>
      <c r="X343" s="668"/>
      <c r="Y343" s="668"/>
      <c r="Z343" s="668"/>
      <c r="AA343" s="668"/>
      <c r="AB343" s="668"/>
      <c r="AC343" s="668"/>
      <c r="AD343" s="668"/>
      <c r="AE343" s="668"/>
      <c r="AF343" s="668"/>
      <c r="AG343" s="668"/>
      <c r="AH343" s="668"/>
    </row>
    <row r="344" ht="15" customHeight="1">
      <c r="A344" s="676"/>
      <c r="B344" s="677"/>
      <c r="C344" s="674"/>
      <c r="D344" s="676"/>
      <c r="E344" s="676"/>
      <c r="F344" s="676"/>
      <c r="G344" s="676"/>
      <c r="H344" s="676"/>
      <c r="I344" s="676"/>
      <c r="J344" s="676"/>
      <c r="K344" s="676"/>
      <c r="L344" s="676"/>
      <c r="M344" s="676"/>
      <c r="N344" s="676"/>
      <c r="O344" s="676"/>
      <c r="P344" s="676"/>
      <c r="Q344" s="676"/>
      <c r="R344" s="676"/>
      <c r="S344" s="676"/>
      <c r="T344" s="676"/>
      <c r="U344" s="676"/>
      <c r="V344" s="676"/>
      <c r="W344" s="676"/>
      <c r="X344" s="676"/>
      <c r="Y344" s="676"/>
      <c r="Z344" s="676"/>
      <c r="AA344" s="676"/>
      <c r="AB344" s="676"/>
      <c r="AC344" s="676"/>
      <c r="AD344" s="676"/>
      <c r="AE344" s="676"/>
      <c r="AF344" s="676"/>
      <c r="AG344" s="676"/>
      <c r="AH344" s="676"/>
    </row>
    <row r="345" ht="15" customHeight="1">
      <c r="A345" s="663"/>
      <c r="B345" s="678"/>
      <c r="C345" s="665"/>
      <c r="D345" s="663"/>
      <c r="E345" s="663"/>
      <c r="F345" s="663"/>
      <c r="G345" s="663"/>
      <c r="H345" s="663"/>
      <c r="I345" s="663"/>
      <c r="J345" s="663"/>
      <c r="K345" s="663"/>
      <c r="L345" s="663"/>
      <c r="M345" s="663"/>
      <c r="N345" s="663"/>
      <c r="O345" s="663"/>
      <c r="P345" s="663"/>
      <c r="Q345" s="663"/>
      <c r="R345" s="663"/>
      <c r="S345" s="663"/>
      <c r="T345" s="663"/>
      <c r="U345" s="663"/>
      <c r="V345" s="663"/>
      <c r="W345" s="663"/>
      <c r="X345" s="663"/>
      <c r="Y345" s="663"/>
      <c r="Z345" s="663"/>
      <c r="AA345" s="663"/>
      <c r="AB345" s="663"/>
      <c r="AC345" s="663"/>
      <c r="AD345" s="663"/>
      <c r="AE345" s="663"/>
      <c r="AF345" s="663"/>
      <c r="AG345" s="663"/>
      <c r="AH345" s="663"/>
    </row>
    <row r="346" ht="15" customHeight="1">
      <c r="A346" s="663"/>
      <c r="B346" s="678"/>
      <c r="C346" s="665"/>
      <c r="D346" s="663"/>
      <c r="E346" s="663"/>
      <c r="F346" s="663"/>
      <c r="G346" s="663"/>
      <c r="H346" s="663"/>
      <c r="I346" s="663"/>
      <c r="J346" s="663"/>
      <c r="K346" s="663"/>
      <c r="L346" s="663"/>
      <c r="M346" s="663"/>
      <c r="N346" s="663"/>
      <c r="O346" s="663"/>
      <c r="P346" s="663"/>
      <c r="Q346" s="663"/>
      <c r="R346" s="663"/>
      <c r="S346" s="663"/>
      <c r="T346" s="663"/>
      <c r="U346" s="663"/>
      <c r="V346" s="663"/>
      <c r="W346" s="663"/>
      <c r="X346" s="663"/>
      <c r="Y346" s="663"/>
      <c r="Z346" s="663"/>
      <c r="AA346" s="663"/>
      <c r="AB346" s="663"/>
      <c r="AC346" s="663"/>
      <c r="AD346" s="663"/>
      <c r="AE346" s="663"/>
      <c r="AF346" s="663"/>
      <c r="AG346" s="663"/>
      <c r="AH346" s="663"/>
    </row>
    <row r="347" ht="15" customHeight="1">
      <c r="A347" s="663"/>
      <c r="B347" s="678"/>
      <c r="C347" s="665"/>
      <c r="D347" s="667">
        <v>42074</v>
      </c>
      <c r="E347" s="663"/>
      <c r="F347" s="663"/>
      <c r="G347" s="663"/>
      <c r="H347" s="663"/>
      <c r="I347" s="663"/>
      <c r="J347" s="663"/>
      <c r="K347" s="663"/>
      <c r="L347" s="663"/>
      <c r="M347" s="663"/>
      <c r="N347" s="663"/>
      <c r="O347" s="663"/>
      <c r="P347" s="663"/>
      <c r="Q347" s="663"/>
      <c r="R347" s="663"/>
      <c r="S347" s="663"/>
      <c r="T347" s="663"/>
      <c r="U347" s="663"/>
      <c r="V347" s="663"/>
      <c r="W347" s="663"/>
      <c r="X347" s="663"/>
      <c r="Y347" s="663"/>
      <c r="Z347" s="663"/>
      <c r="AA347" s="663"/>
      <c r="AB347" s="663"/>
      <c r="AC347" s="663"/>
      <c r="AD347" s="663"/>
      <c r="AE347" s="663"/>
      <c r="AF347" s="663"/>
      <c r="AG347" s="663"/>
      <c r="AH347" s="663"/>
    </row>
    <row r="348" ht="15" customHeight="1">
      <c r="A348" s="663"/>
      <c r="B348" s="678"/>
      <c r="C348" s="665"/>
      <c r="D348" s="663"/>
      <c r="E348" s="663"/>
      <c r="F348" s="663"/>
      <c r="G348" s="663"/>
      <c r="H348" s="663"/>
      <c r="I348" s="663"/>
      <c r="J348" s="663"/>
      <c r="K348" s="663"/>
      <c r="L348" s="663"/>
      <c r="M348" s="663"/>
      <c r="N348" s="663"/>
      <c r="O348" s="663"/>
      <c r="P348" s="663"/>
      <c r="Q348" s="663"/>
      <c r="R348" s="663"/>
      <c r="S348" s="663"/>
      <c r="T348" s="663"/>
      <c r="U348" s="663"/>
      <c r="V348" s="663"/>
      <c r="W348" s="663"/>
      <c r="X348" s="663"/>
      <c r="Y348" s="663"/>
      <c r="Z348" s="663"/>
      <c r="AA348" s="663"/>
      <c r="AB348" s="663"/>
      <c r="AC348" s="663"/>
      <c r="AD348" s="663"/>
      <c r="AE348" s="663"/>
      <c r="AF348" s="663"/>
      <c r="AG348" s="663"/>
      <c r="AH348" s="663"/>
    </row>
    <row r="349" ht="15" customHeight="1">
      <c r="A349" s="663"/>
      <c r="B349" s="678"/>
      <c r="C349" s="665"/>
      <c r="D349" s="663"/>
      <c r="E349" s="663"/>
      <c r="F349" s="663"/>
      <c r="G349" s="663"/>
      <c r="H349" s="663"/>
      <c r="I349" s="663"/>
      <c r="J349" s="663"/>
      <c r="K349" s="663"/>
      <c r="L349" s="663"/>
      <c r="M349" s="663"/>
      <c r="N349" s="663"/>
      <c r="O349" s="663"/>
      <c r="P349" s="663"/>
      <c r="Q349" s="663"/>
      <c r="R349" s="663"/>
      <c r="S349" s="663"/>
      <c r="T349" s="663"/>
      <c r="U349" s="663"/>
      <c r="V349" s="663"/>
      <c r="W349" s="663"/>
      <c r="X349" s="663"/>
      <c r="Y349" s="663"/>
      <c r="Z349" s="663"/>
      <c r="AA349" s="663"/>
      <c r="AB349" s="663"/>
      <c r="AC349" s="663"/>
      <c r="AD349" s="663"/>
      <c r="AE349" s="663"/>
      <c r="AF349" s="663"/>
      <c r="AG349" s="663"/>
      <c r="AH349" s="663"/>
    </row>
    <row r="350" ht="15" customHeight="1">
      <c r="A350" s="663"/>
      <c r="B350" s="678"/>
      <c r="C350" s="665"/>
      <c r="D350" s="663"/>
      <c r="E350" s="663"/>
      <c r="F350" s="663"/>
      <c r="G350" s="663"/>
      <c r="H350" s="663"/>
      <c r="I350" s="663"/>
      <c r="J350" s="663"/>
      <c r="K350" s="663"/>
      <c r="L350" s="663"/>
      <c r="M350" s="663"/>
      <c r="N350" s="663"/>
      <c r="O350" s="663"/>
      <c r="P350" s="663"/>
      <c r="Q350" s="663"/>
      <c r="R350" s="663"/>
      <c r="S350" s="663"/>
      <c r="T350" s="663"/>
      <c r="U350" s="663"/>
      <c r="V350" s="663"/>
      <c r="W350" s="663"/>
      <c r="X350" s="663"/>
      <c r="Y350" s="663"/>
      <c r="Z350" s="663"/>
      <c r="AA350" s="663"/>
      <c r="AB350" s="663"/>
      <c r="AC350" s="663"/>
      <c r="AD350" s="663"/>
      <c r="AE350" s="663"/>
      <c r="AF350" s="663"/>
      <c r="AG350" s="663"/>
      <c r="AH350" s="663"/>
    </row>
    <row r="351" ht="15" customHeight="1">
      <c r="A351" s="663"/>
      <c r="B351" s="678"/>
      <c r="C351" s="665"/>
      <c r="D351" s="663"/>
      <c r="E351" s="663"/>
      <c r="F351" s="663"/>
      <c r="G351" s="663"/>
      <c r="H351" s="663"/>
      <c r="I351" s="663"/>
      <c r="J351" s="663"/>
      <c r="K351" s="663"/>
      <c r="L351" s="663"/>
      <c r="M351" s="663"/>
      <c r="N351" s="663"/>
      <c r="O351" s="663"/>
      <c r="P351" s="663"/>
      <c r="Q351" s="663"/>
      <c r="R351" s="663"/>
      <c r="S351" s="663"/>
      <c r="T351" s="663"/>
      <c r="U351" s="663"/>
      <c r="V351" s="663"/>
      <c r="W351" s="663"/>
      <c r="X351" s="663"/>
      <c r="Y351" s="663"/>
      <c r="Z351" s="663"/>
      <c r="AA351" s="663"/>
      <c r="AB351" s="663"/>
      <c r="AC351" s="663"/>
      <c r="AD351" s="663"/>
      <c r="AE351" s="663"/>
      <c r="AF351" s="663"/>
      <c r="AG351" s="663"/>
      <c r="AH351" s="663"/>
    </row>
    <row r="352" ht="15" customHeight="1">
      <c r="A352" s="663"/>
      <c r="B352" s="678"/>
      <c r="C352" s="665"/>
      <c r="D352" s="663"/>
      <c r="E352" s="663"/>
      <c r="F352" s="663"/>
      <c r="G352" s="663"/>
      <c r="H352" s="663"/>
      <c r="I352" s="663"/>
      <c r="J352" s="663"/>
      <c r="K352" s="663"/>
      <c r="L352" s="663"/>
      <c r="M352" s="663"/>
      <c r="N352" s="663"/>
      <c r="O352" s="663"/>
      <c r="P352" s="663"/>
      <c r="Q352" s="663"/>
      <c r="R352" s="663"/>
      <c r="S352" s="663"/>
      <c r="T352" s="663"/>
      <c r="U352" s="663"/>
      <c r="V352" s="663"/>
      <c r="W352" s="663"/>
      <c r="X352" s="663"/>
      <c r="Y352" s="663"/>
      <c r="Z352" s="663"/>
      <c r="AA352" s="663"/>
      <c r="AB352" s="663"/>
      <c r="AC352" s="663"/>
      <c r="AD352" s="663"/>
      <c r="AE352" s="663"/>
      <c r="AF352" s="663"/>
      <c r="AG352" s="663"/>
      <c r="AH352" s="663"/>
    </row>
    <row r="353" ht="15" customHeight="1">
      <c r="A353" s="663"/>
      <c r="B353" s="678"/>
      <c r="C353" s="665"/>
      <c r="D353" s="663"/>
      <c r="E353" s="663"/>
      <c r="F353" s="663"/>
      <c r="G353" s="663"/>
      <c r="H353" s="663"/>
      <c r="I353" s="663"/>
      <c r="J353" s="663"/>
      <c r="K353" s="663"/>
      <c r="L353" s="663"/>
      <c r="M353" s="663"/>
      <c r="N353" s="663"/>
      <c r="O353" s="663"/>
      <c r="P353" s="663"/>
      <c r="Q353" s="663"/>
      <c r="R353" s="663"/>
      <c r="S353" s="663"/>
      <c r="T353" s="663"/>
      <c r="U353" s="663"/>
      <c r="V353" s="663"/>
      <c r="W353" s="663"/>
      <c r="X353" s="663"/>
      <c r="Y353" s="663"/>
      <c r="Z353" s="663"/>
      <c r="AA353" s="663"/>
      <c r="AB353" s="663"/>
      <c r="AC353" s="663"/>
      <c r="AD353" s="663"/>
      <c r="AE353" s="663"/>
      <c r="AF353" s="663"/>
      <c r="AG353" s="663"/>
      <c r="AH353" s="663"/>
    </row>
    <row r="354" ht="15" customHeight="1">
      <c r="A354" s="663"/>
      <c r="B354" s="678"/>
      <c r="C354" s="665"/>
      <c r="D354" s="663"/>
      <c r="E354" s="663"/>
      <c r="F354" s="663"/>
      <c r="G354" s="663"/>
      <c r="H354" s="663"/>
      <c r="I354" s="663"/>
      <c r="J354" s="663"/>
      <c r="K354" s="663"/>
      <c r="L354" s="663"/>
      <c r="M354" s="663"/>
      <c r="N354" s="663"/>
      <c r="O354" s="663"/>
      <c r="P354" s="663"/>
      <c r="Q354" s="663"/>
      <c r="R354" s="663"/>
      <c r="S354" s="663"/>
      <c r="T354" s="663"/>
      <c r="U354" s="663"/>
      <c r="V354" s="663"/>
      <c r="W354" s="663"/>
      <c r="X354" s="663"/>
      <c r="Y354" s="663"/>
      <c r="Z354" s="663"/>
      <c r="AA354" s="663"/>
      <c r="AB354" s="663"/>
      <c r="AC354" s="663"/>
      <c r="AD354" s="663"/>
      <c r="AE354" s="663"/>
      <c r="AF354" s="663"/>
      <c r="AG354" s="663"/>
      <c r="AH354" s="663"/>
    </row>
    <row r="355" ht="15" customHeight="1">
      <c r="A355" s="663"/>
      <c r="B355" s="678"/>
      <c r="C355" s="665"/>
      <c r="D355" s="663"/>
      <c r="E355" s="663"/>
      <c r="F355" s="663"/>
      <c r="G355" s="663"/>
      <c r="H355" s="663"/>
      <c r="I355" s="663"/>
      <c r="J355" s="663"/>
      <c r="K355" s="663"/>
      <c r="L355" s="663"/>
      <c r="M355" s="663"/>
      <c r="N355" s="663"/>
      <c r="O355" s="663"/>
      <c r="P355" s="663"/>
      <c r="Q355" s="663"/>
      <c r="R355" s="663"/>
      <c r="S355" s="663"/>
      <c r="T355" s="663"/>
      <c r="U355" s="663"/>
      <c r="V355" s="663"/>
      <c r="W355" s="663"/>
      <c r="X355" s="663"/>
      <c r="Y355" s="663"/>
      <c r="Z355" s="663"/>
      <c r="AA355" s="663"/>
      <c r="AB355" s="663"/>
      <c r="AC355" s="663"/>
      <c r="AD355" s="663"/>
      <c r="AE355" s="663"/>
      <c r="AF355" s="663"/>
      <c r="AG355" s="663"/>
      <c r="AH355" s="663"/>
    </row>
    <row r="356" ht="15" customHeight="1">
      <c r="A356" s="663"/>
      <c r="B356" s="678"/>
      <c r="C356" s="665"/>
      <c r="D356" s="663"/>
      <c r="E356" s="663"/>
      <c r="F356" s="663"/>
      <c r="G356" s="663"/>
      <c r="H356" s="663"/>
      <c r="I356" s="663"/>
      <c r="J356" s="663"/>
      <c r="K356" s="663"/>
      <c r="L356" s="663"/>
      <c r="M356" s="663"/>
      <c r="N356" s="663"/>
      <c r="O356" s="663"/>
      <c r="P356" s="663"/>
      <c r="Q356" s="663"/>
      <c r="R356" s="663"/>
      <c r="S356" s="663"/>
      <c r="T356" s="663"/>
      <c r="U356" s="663"/>
      <c r="V356" s="663"/>
      <c r="W356" s="663"/>
      <c r="X356" s="663"/>
      <c r="Y356" s="663"/>
      <c r="Z356" s="663"/>
      <c r="AA356" s="663"/>
      <c r="AB356" s="663"/>
      <c r="AC356" s="663"/>
      <c r="AD356" s="663"/>
      <c r="AE356" s="663"/>
      <c r="AF356" s="663"/>
      <c r="AG356" s="663"/>
      <c r="AH356" s="663"/>
    </row>
    <row r="357" ht="15" customHeight="1">
      <c r="A357" s="663"/>
      <c r="B357" s="678"/>
      <c r="C357" s="665"/>
      <c r="D357" s="663"/>
      <c r="E357" s="663"/>
      <c r="F357" s="663"/>
      <c r="G357" s="663"/>
      <c r="H357" s="663"/>
      <c r="I357" s="663"/>
      <c r="J357" s="663"/>
      <c r="K357" s="663"/>
      <c r="L357" s="663"/>
      <c r="M357" s="663"/>
      <c r="N357" s="663"/>
      <c r="O357" s="663"/>
      <c r="P357" s="663"/>
      <c r="Q357" s="663"/>
      <c r="R357" s="663"/>
      <c r="S357" s="663"/>
      <c r="T357" s="663"/>
      <c r="U357" s="663"/>
      <c r="V357" s="663"/>
      <c r="W357" s="663"/>
      <c r="X357" s="663"/>
      <c r="Y357" s="663"/>
      <c r="Z357" s="663"/>
      <c r="AA357" s="663"/>
      <c r="AB357" s="663"/>
      <c r="AC357" s="663"/>
      <c r="AD357" s="663"/>
      <c r="AE357" s="663"/>
      <c r="AF357" s="663"/>
      <c r="AG357" s="663"/>
      <c r="AH357" s="663"/>
    </row>
    <row r="358" ht="15" customHeight="1">
      <c r="A358" s="663"/>
      <c r="B358" s="678"/>
      <c r="C358" s="665"/>
      <c r="D358" s="663"/>
      <c r="E358" s="663"/>
      <c r="F358" s="663"/>
      <c r="G358" s="663"/>
      <c r="H358" s="663"/>
      <c r="I358" s="663"/>
      <c r="J358" s="663"/>
      <c r="K358" s="663"/>
      <c r="L358" s="663"/>
      <c r="M358" s="663"/>
      <c r="N358" s="663"/>
      <c r="O358" s="663"/>
      <c r="P358" s="663"/>
      <c r="Q358" s="663"/>
      <c r="R358" s="663"/>
      <c r="S358" s="663"/>
      <c r="T358" s="663"/>
      <c r="U358" s="663"/>
      <c r="V358" s="663"/>
      <c r="W358" s="663"/>
      <c r="X358" s="663"/>
      <c r="Y358" s="663"/>
      <c r="Z358" s="663"/>
      <c r="AA358" s="663"/>
      <c r="AB358" s="663"/>
      <c r="AC358" s="663"/>
      <c r="AD358" s="663"/>
      <c r="AE358" s="663"/>
      <c r="AF358" s="663"/>
      <c r="AG358" s="663"/>
      <c r="AH358" s="663"/>
    </row>
    <row r="359" ht="15" customHeight="1">
      <c r="A359" s="663"/>
      <c r="B359" s="678"/>
      <c r="C359" s="665"/>
      <c r="D359" s="663"/>
      <c r="E359" s="663"/>
      <c r="F359" s="663"/>
      <c r="G359" s="663"/>
      <c r="H359" s="663"/>
      <c r="I359" s="663"/>
      <c r="J359" s="663"/>
      <c r="K359" s="663"/>
      <c r="L359" s="663"/>
      <c r="M359" s="663"/>
      <c r="N359" s="663"/>
      <c r="O359" s="663"/>
      <c r="P359" s="663"/>
      <c r="Q359" s="663"/>
      <c r="R359" s="663"/>
      <c r="S359" s="663"/>
      <c r="T359" s="663"/>
      <c r="U359" s="663"/>
      <c r="V359" s="663"/>
      <c r="W359" s="663"/>
      <c r="X359" s="663"/>
      <c r="Y359" s="663"/>
      <c r="Z359" s="663"/>
      <c r="AA359" s="663"/>
      <c r="AB359" s="663"/>
      <c r="AC359" s="663"/>
      <c r="AD359" s="663"/>
      <c r="AE359" s="663"/>
      <c r="AF359" s="663"/>
      <c r="AG359" s="663"/>
      <c r="AH359" s="663"/>
    </row>
    <row r="360" ht="15" customHeight="1">
      <c r="A360" s="663"/>
      <c r="B360" s="678"/>
      <c r="C360" s="665"/>
      <c r="D360" s="663"/>
      <c r="E360" s="663"/>
      <c r="F360" s="663"/>
      <c r="G360" s="663"/>
      <c r="H360" s="663"/>
      <c r="I360" s="663"/>
      <c r="J360" s="663"/>
      <c r="K360" s="663"/>
      <c r="L360" s="663"/>
      <c r="M360" s="663"/>
      <c r="N360" s="663"/>
      <c r="O360" s="663"/>
      <c r="P360" s="663"/>
      <c r="Q360" s="663"/>
      <c r="R360" s="663"/>
      <c r="S360" s="663"/>
      <c r="T360" s="663"/>
      <c r="U360" s="663"/>
      <c r="V360" s="663"/>
      <c r="W360" s="663"/>
      <c r="X360" s="663"/>
      <c r="Y360" s="663"/>
      <c r="Z360" s="663"/>
      <c r="AA360" s="663"/>
      <c r="AB360" s="663"/>
      <c r="AC360" s="663"/>
      <c r="AD360" s="663"/>
      <c r="AE360" s="663"/>
      <c r="AF360" s="663"/>
      <c r="AG360" s="663"/>
      <c r="AH360" s="663"/>
    </row>
    <row r="361" ht="15" customHeight="1">
      <c r="A361" s="663"/>
      <c r="B361" s="678"/>
      <c r="C361" s="665"/>
      <c r="D361" s="663"/>
      <c r="E361" s="663"/>
      <c r="F361" s="663"/>
      <c r="G361" s="663"/>
      <c r="H361" s="663"/>
      <c r="I361" s="663"/>
      <c r="J361" s="663"/>
      <c r="K361" s="663"/>
      <c r="L361" s="663"/>
      <c r="M361" s="663"/>
      <c r="N361" s="663"/>
      <c r="O361" s="663"/>
      <c r="P361" s="663"/>
      <c r="Q361" s="663"/>
      <c r="R361" s="663"/>
      <c r="S361" s="663"/>
      <c r="T361" s="663"/>
      <c r="U361" s="663"/>
      <c r="V361" s="663"/>
      <c r="W361" s="663"/>
      <c r="X361" s="663"/>
      <c r="Y361" s="663"/>
      <c r="Z361" s="663"/>
      <c r="AA361" s="663"/>
      <c r="AB361" s="663"/>
      <c r="AC361" s="663"/>
      <c r="AD361" s="663"/>
      <c r="AE361" s="663"/>
      <c r="AF361" s="663"/>
      <c r="AG361" s="663"/>
      <c r="AH361" s="663"/>
    </row>
    <row r="362" ht="15" customHeight="1">
      <c r="A362" s="663"/>
      <c r="B362" s="678"/>
      <c r="C362" s="665"/>
      <c r="D362" s="663"/>
      <c r="E362" s="663"/>
      <c r="F362" s="663"/>
      <c r="G362" s="663"/>
      <c r="H362" s="663"/>
      <c r="I362" s="663"/>
      <c r="J362" s="663"/>
      <c r="K362" s="663"/>
      <c r="L362" s="663"/>
      <c r="M362" s="663"/>
      <c r="N362" s="663"/>
      <c r="O362" s="663"/>
      <c r="P362" s="663"/>
      <c r="Q362" s="663"/>
      <c r="R362" s="663"/>
      <c r="S362" s="663"/>
      <c r="T362" s="663"/>
      <c r="U362" s="663"/>
      <c r="V362" s="663"/>
      <c r="W362" s="663"/>
      <c r="X362" s="663"/>
      <c r="Y362" s="663"/>
      <c r="Z362" s="663"/>
      <c r="AA362" s="663"/>
      <c r="AB362" s="663"/>
      <c r="AC362" s="663"/>
      <c r="AD362" s="663"/>
      <c r="AE362" s="663"/>
      <c r="AF362" s="663"/>
      <c r="AG362" s="663"/>
      <c r="AH362" s="663"/>
    </row>
    <row r="363" ht="15" customHeight="1">
      <c r="A363" s="663"/>
      <c r="B363" s="663"/>
      <c r="C363" s="663"/>
      <c r="D363" s="663"/>
      <c r="E363" s="663"/>
      <c r="F363" s="663"/>
      <c r="G363" s="663"/>
      <c r="H363" s="663"/>
      <c r="I363" s="663"/>
      <c r="J363" s="663"/>
      <c r="K363" s="663"/>
      <c r="L363" s="663"/>
      <c r="M363" s="663"/>
      <c r="N363" s="663"/>
      <c r="O363" s="663"/>
      <c r="P363" s="663"/>
      <c r="Q363" s="663"/>
      <c r="R363" s="663"/>
      <c r="S363" s="663"/>
      <c r="T363" s="663"/>
      <c r="U363" s="663"/>
      <c r="V363" s="663"/>
      <c r="W363" s="663"/>
      <c r="X363" s="663"/>
      <c r="Y363" s="663"/>
      <c r="Z363" s="663"/>
      <c r="AA363" s="663"/>
      <c r="AB363" s="663"/>
      <c r="AC363" s="663"/>
      <c r="AD363" s="663"/>
      <c r="AE363" s="663"/>
      <c r="AF363" s="663"/>
      <c r="AG363" s="663"/>
      <c r="AH363" s="663"/>
    </row>
    <row r="364" ht="15" customHeight="1">
      <c r="A364" s="663"/>
      <c r="B364" s="663"/>
      <c r="C364" s="663"/>
      <c r="D364" s="663"/>
      <c r="E364" s="663"/>
      <c r="F364" s="663"/>
      <c r="G364" s="663"/>
      <c r="H364" s="663"/>
      <c r="I364" s="663"/>
      <c r="J364" s="663"/>
      <c r="K364" s="663"/>
      <c r="L364" s="663"/>
      <c r="M364" s="663"/>
      <c r="N364" s="663"/>
      <c r="O364" s="663"/>
      <c r="P364" s="663"/>
      <c r="Q364" s="663"/>
      <c r="R364" s="663"/>
      <c r="S364" s="663"/>
      <c r="T364" s="663"/>
      <c r="U364" s="663"/>
      <c r="V364" s="663"/>
      <c r="W364" s="663"/>
      <c r="X364" s="663"/>
      <c r="Y364" s="663"/>
      <c r="Z364" s="663"/>
      <c r="AA364" s="663"/>
      <c r="AB364" s="663"/>
      <c r="AC364" s="663"/>
      <c r="AD364" s="663"/>
      <c r="AE364" s="663"/>
      <c r="AF364" s="663"/>
      <c r="AG364" s="663"/>
      <c r="AH364" s="663"/>
    </row>
    <row r="365" ht="15" customHeight="1">
      <c r="A365" s="663"/>
      <c r="B365" s="663"/>
      <c r="C365" s="663"/>
      <c r="D365" s="663"/>
      <c r="E365" s="663"/>
      <c r="F365" s="663"/>
      <c r="G365" s="663"/>
      <c r="H365" s="663"/>
      <c r="I365" s="663"/>
      <c r="J365" s="663"/>
      <c r="K365" s="663"/>
      <c r="L365" s="663"/>
      <c r="M365" s="663"/>
      <c r="N365" s="663"/>
      <c r="O365" s="663"/>
      <c r="P365" s="663"/>
      <c r="Q365" s="663"/>
      <c r="R365" s="663"/>
      <c r="S365" s="663"/>
      <c r="T365" s="663"/>
      <c r="U365" s="663"/>
      <c r="V365" s="663"/>
      <c r="W365" s="663"/>
      <c r="X365" s="663"/>
      <c r="Y365" s="663"/>
      <c r="Z365" s="663"/>
      <c r="AA365" s="663"/>
      <c r="AB365" s="663"/>
      <c r="AC365" s="663"/>
      <c r="AD365" s="663"/>
      <c r="AE365" s="663"/>
      <c r="AF365" s="663"/>
      <c r="AG365" s="663"/>
      <c r="AH365" s="663"/>
    </row>
    <row r="366" ht="15" customHeight="1">
      <c r="A366" s="663"/>
      <c r="B366" s="663"/>
      <c r="C366" s="663"/>
      <c r="D366" s="663"/>
      <c r="E366" s="663"/>
      <c r="F366" s="663"/>
      <c r="G366" s="663"/>
      <c r="H366" s="663"/>
      <c r="I366" s="663"/>
      <c r="J366" s="663"/>
      <c r="K366" s="663"/>
      <c r="L366" s="663"/>
      <c r="M366" s="663"/>
      <c r="N366" s="663"/>
      <c r="O366" s="663"/>
      <c r="P366" s="663"/>
      <c r="Q366" s="663"/>
      <c r="R366" s="663"/>
      <c r="S366" s="663"/>
      <c r="T366" s="663"/>
      <c r="U366" s="663"/>
      <c r="V366" s="663"/>
      <c r="W366" s="663"/>
      <c r="X366" s="663"/>
      <c r="Y366" s="663"/>
      <c r="Z366" s="663"/>
      <c r="AA366" s="663"/>
      <c r="AB366" s="663"/>
      <c r="AC366" s="663"/>
      <c r="AD366" s="663"/>
      <c r="AE366" s="663"/>
      <c r="AF366" s="663"/>
      <c r="AG366" s="663"/>
      <c r="AH366" s="663"/>
    </row>
    <row r="367" ht="15" customHeight="1">
      <c r="A367" s="663"/>
      <c r="B367" s="663"/>
      <c r="C367" s="663"/>
      <c r="D367" s="663"/>
      <c r="E367" s="663"/>
      <c r="F367" s="663"/>
      <c r="G367" s="663"/>
      <c r="H367" s="663"/>
      <c r="I367" s="663"/>
      <c r="J367" s="663"/>
      <c r="K367" s="663"/>
      <c r="L367" s="663"/>
      <c r="M367" s="663"/>
      <c r="N367" s="663"/>
      <c r="O367" s="663"/>
      <c r="P367" s="663"/>
      <c r="Q367" s="663"/>
      <c r="R367" s="663"/>
      <c r="S367" s="663"/>
      <c r="T367" s="663"/>
      <c r="U367" s="663"/>
      <c r="V367" s="663"/>
      <c r="W367" s="663"/>
      <c r="X367" s="663"/>
      <c r="Y367" s="663"/>
      <c r="Z367" s="663"/>
      <c r="AA367" s="663"/>
      <c r="AB367" s="663"/>
      <c r="AC367" s="663"/>
      <c r="AD367" s="663"/>
      <c r="AE367" s="663"/>
      <c r="AF367" s="663"/>
      <c r="AG367" s="663"/>
      <c r="AH367" s="663"/>
    </row>
    <row r="368" ht="15" customHeight="1">
      <c r="A368" s="663"/>
      <c r="B368" s="663"/>
      <c r="C368" s="663"/>
      <c r="D368" s="663"/>
      <c r="E368" s="663"/>
      <c r="F368" s="663"/>
      <c r="G368" s="663"/>
      <c r="H368" s="663"/>
      <c r="I368" s="663"/>
      <c r="J368" s="663"/>
      <c r="K368" s="663"/>
      <c r="L368" s="663"/>
      <c r="M368" s="663"/>
      <c r="N368" s="663"/>
      <c r="O368" s="663"/>
      <c r="P368" s="663"/>
      <c r="Q368" s="663"/>
      <c r="R368" s="663"/>
      <c r="S368" s="663"/>
      <c r="T368" s="663"/>
      <c r="U368" s="663"/>
      <c r="V368" s="663"/>
      <c r="W368" s="663"/>
      <c r="X368" s="663"/>
      <c r="Y368" s="663"/>
      <c r="Z368" s="663"/>
      <c r="AA368" s="663"/>
      <c r="AB368" s="663"/>
      <c r="AC368" s="663"/>
      <c r="AD368" s="663"/>
      <c r="AE368" s="663"/>
      <c r="AF368" s="663"/>
      <c r="AG368" s="663"/>
      <c r="AH368" s="663"/>
    </row>
    <row r="369" ht="15" customHeight="1">
      <c r="A369" s="663"/>
      <c r="B369" s="663"/>
      <c r="C369" s="663"/>
      <c r="D369" s="663"/>
      <c r="E369" s="663"/>
      <c r="F369" s="663"/>
      <c r="G369" s="663"/>
      <c r="H369" s="663"/>
      <c r="I369" s="663"/>
      <c r="J369" s="663"/>
      <c r="K369" s="663"/>
      <c r="L369" s="663"/>
      <c r="M369" s="663"/>
      <c r="N369" s="663"/>
      <c r="O369" s="663"/>
      <c r="P369" s="663"/>
      <c r="Q369" s="663"/>
      <c r="R369" s="663"/>
      <c r="S369" s="663"/>
      <c r="T369" s="663"/>
      <c r="U369" s="663"/>
      <c r="V369" s="663"/>
      <c r="W369" s="663"/>
      <c r="X369" s="663"/>
      <c r="Y369" s="663"/>
      <c r="Z369" s="663"/>
      <c r="AA369" s="663"/>
      <c r="AB369" s="663"/>
      <c r="AC369" s="663"/>
      <c r="AD369" s="663"/>
      <c r="AE369" s="663"/>
      <c r="AF369" s="663"/>
      <c r="AG369" s="663"/>
      <c r="AH369" s="663"/>
    </row>
    <row r="370" ht="15" customHeight="1">
      <c r="A370" s="663"/>
      <c r="B370" s="663"/>
      <c r="C370" s="663"/>
      <c r="D370" s="663"/>
      <c r="E370" s="663"/>
      <c r="F370" s="663"/>
      <c r="G370" s="663"/>
      <c r="H370" s="663"/>
      <c r="I370" s="663"/>
      <c r="J370" s="663"/>
      <c r="K370" s="663"/>
      <c r="L370" s="663"/>
      <c r="M370" s="663"/>
      <c r="N370" s="663"/>
      <c r="O370" s="663"/>
      <c r="P370" s="663"/>
      <c r="Q370" s="663"/>
      <c r="R370" s="663"/>
      <c r="S370" s="663"/>
      <c r="T370" s="663"/>
      <c r="U370" s="663"/>
      <c r="V370" s="663"/>
      <c r="W370" s="663"/>
      <c r="X370" s="663"/>
      <c r="Y370" s="663"/>
      <c r="Z370" s="663"/>
      <c r="AA370" s="663"/>
      <c r="AB370" s="663"/>
      <c r="AC370" s="663"/>
      <c r="AD370" s="663"/>
      <c r="AE370" s="663"/>
      <c r="AF370" s="663"/>
      <c r="AG370" s="663"/>
      <c r="AH370" s="663"/>
    </row>
    <row r="371" ht="15" customHeight="1">
      <c r="A371" s="663"/>
      <c r="B371" s="663"/>
      <c r="C371" s="663"/>
      <c r="D371" s="663"/>
      <c r="E371" s="663"/>
      <c r="F371" s="663"/>
      <c r="G371" s="663"/>
      <c r="H371" s="663"/>
      <c r="I371" s="663"/>
      <c r="J371" s="663"/>
      <c r="K371" s="663"/>
      <c r="L371" s="663"/>
      <c r="M371" s="663"/>
      <c r="N371" s="663"/>
      <c r="O371" s="663"/>
      <c r="P371" s="663"/>
      <c r="Q371" s="663"/>
      <c r="R371" s="663"/>
      <c r="S371" s="663"/>
      <c r="T371" s="663"/>
      <c r="U371" s="663"/>
      <c r="V371" s="663"/>
      <c r="W371" s="663"/>
      <c r="X371" s="663"/>
      <c r="Y371" s="663"/>
      <c r="Z371" s="663"/>
      <c r="AA371" s="663"/>
      <c r="AB371" s="663"/>
      <c r="AC371" s="663"/>
      <c r="AD371" s="663"/>
      <c r="AE371" s="663"/>
      <c r="AF371" s="663"/>
      <c r="AG371" s="663"/>
      <c r="AH371" s="663"/>
    </row>
    <row r="372" ht="15" customHeight="1">
      <c r="A372" s="663"/>
      <c r="B372" s="663"/>
      <c r="C372" s="663"/>
      <c r="D372" s="663"/>
      <c r="E372" s="663"/>
      <c r="F372" s="663"/>
      <c r="G372" s="663"/>
      <c r="H372" s="663"/>
      <c r="I372" s="663"/>
      <c r="J372" s="663"/>
      <c r="K372" s="663"/>
      <c r="L372" s="663"/>
      <c r="M372" s="663"/>
      <c r="N372" s="663"/>
      <c r="O372" s="663"/>
      <c r="P372" s="663"/>
      <c r="Q372" s="663"/>
      <c r="R372" s="663"/>
      <c r="S372" s="663"/>
      <c r="T372" s="663"/>
      <c r="U372" s="663"/>
      <c r="V372" s="663"/>
      <c r="W372" s="663"/>
      <c r="X372" s="663"/>
      <c r="Y372" s="663"/>
      <c r="Z372" s="663"/>
      <c r="AA372" s="663"/>
      <c r="AB372" s="663"/>
      <c r="AC372" s="663"/>
      <c r="AD372" s="663"/>
      <c r="AE372" s="663"/>
      <c r="AF372" s="663"/>
      <c r="AG372" s="663"/>
      <c r="AH372" s="663"/>
    </row>
    <row r="373" ht="15" customHeight="1">
      <c r="A373" s="663"/>
      <c r="B373" s="663"/>
      <c r="C373" s="663"/>
      <c r="D373" s="663"/>
      <c r="E373" s="663"/>
      <c r="F373" s="663"/>
      <c r="G373" s="663"/>
      <c r="H373" s="663"/>
      <c r="I373" s="663"/>
      <c r="J373" s="663"/>
      <c r="K373" s="663"/>
      <c r="L373" s="663"/>
      <c r="M373" s="663"/>
      <c r="N373" s="663"/>
      <c r="O373" s="663"/>
      <c r="P373" s="663"/>
      <c r="Q373" s="663"/>
      <c r="R373" s="663"/>
      <c r="S373" s="663"/>
      <c r="T373" s="663"/>
      <c r="U373" s="663"/>
      <c r="V373" s="663"/>
      <c r="W373" s="663"/>
      <c r="X373" s="663"/>
      <c r="Y373" s="663"/>
      <c r="Z373" s="663"/>
      <c r="AA373" s="663"/>
      <c r="AB373" s="663"/>
      <c r="AC373" s="663"/>
      <c r="AD373" s="663"/>
      <c r="AE373" s="663"/>
      <c r="AF373" s="663"/>
      <c r="AG373" s="663"/>
      <c r="AH373" s="663"/>
    </row>
    <row r="374" ht="15" customHeight="1">
      <c r="A374" s="663"/>
      <c r="B374" s="663"/>
      <c r="C374" s="663"/>
      <c r="D374" s="663"/>
      <c r="E374" s="663"/>
      <c r="F374" s="663"/>
      <c r="G374" s="663"/>
      <c r="H374" s="663"/>
      <c r="I374" s="663"/>
      <c r="J374" s="663"/>
      <c r="K374" s="663"/>
      <c r="L374" s="663"/>
      <c r="M374" s="663"/>
      <c r="N374" s="663"/>
      <c r="O374" s="663"/>
      <c r="P374" s="663"/>
      <c r="Q374" s="663"/>
      <c r="R374" s="663"/>
      <c r="S374" s="663"/>
      <c r="T374" s="663"/>
      <c r="U374" s="663"/>
      <c r="V374" s="663"/>
      <c r="W374" s="663"/>
      <c r="X374" s="663"/>
      <c r="Y374" s="663"/>
      <c r="Z374" s="663"/>
      <c r="AA374" s="663"/>
      <c r="AB374" s="663"/>
      <c r="AC374" s="663"/>
      <c r="AD374" s="663"/>
      <c r="AE374" s="663"/>
      <c r="AF374" s="663"/>
      <c r="AG374" s="663"/>
      <c r="AH374" s="663"/>
    </row>
    <row r="375" ht="15" customHeight="1">
      <c r="A375" s="663"/>
      <c r="B375" s="663"/>
      <c r="C375" s="663"/>
      <c r="D375" s="663"/>
      <c r="E375" s="663"/>
      <c r="F375" s="663"/>
      <c r="G375" s="663"/>
      <c r="H375" s="663"/>
      <c r="I375" s="663"/>
      <c r="J375" s="663"/>
      <c r="K375" s="663"/>
      <c r="L375" s="663"/>
      <c r="M375" s="663"/>
      <c r="N375" s="663"/>
      <c r="O375" s="663"/>
      <c r="P375" s="663"/>
      <c r="Q375" s="663"/>
      <c r="R375" s="663"/>
      <c r="S375" s="663"/>
      <c r="T375" s="663"/>
      <c r="U375" s="663"/>
      <c r="V375" s="663"/>
      <c r="W375" s="663"/>
      <c r="X375" s="663"/>
      <c r="Y375" s="663"/>
      <c r="Z375" s="663"/>
      <c r="AA375" s="663"/>
      <c r="AB375" s="663"/>
      <c r="AC375" s="663"/>
      <c r="AD375" s="663"/>
      <c r="AE375" s="663"/>
      <c r="AF375" s="663"/>
      <c r="AG375" s="663"/>
      <c r="AH375" s="663"/>
    </row>
    <row r="376" ht="15" customHeight="1">
      <c r="A376" s="663"/>
      <c r="B376" s="663"/>
      <c r="C376" s="663"/>
      <c r="D376" s="663"/>
      <c r="E376" s="663"/>
      <c r="F376" s="663"/>
      <c r="G376" s="663"/>
      <c r="H376" s="663"/>
      <c r="I376" s="663"/>
      <c r="J376" s="663"/>
      <c r="K376" s="663"/>
      <c r="L376" s="663"/>
      <c r="M376" s="663"/>
      <c r="N376" s="663"/>
      <c r="O376" s="663"/>
      <c r="P376" s="663"/>
      <c r="Q376" s="663"/>
      <c r="R376" s="663"/>
      <c r="S376" s="663"/>
      <c r="T376" s="663"/>
      <c r="U376" s="663"/>
      <c r="V376" s="663"/>
      <c r="W376" s="663"/>
      <c r="X376" s="663"/>
      <c r="Y376" s="663"/>
      <c r="Z376" s="663"/>
      <c r="AA376" s="663"/>
      <c r="AB376" s="663"/>
      <c r="AC376" s="663"/>
      <c r="AD376" s="663"/>
      <c r="AE376" s="663"/>
      <c r="AF376" s="663"/>
      <c r="AG376" s="663"/>
      <c r="AH376" s="663"/>
    </row>
    <row r="377" ht="15" customHeight="1">
      <c r="A377" s="663"/>
      <c r="B377" s="663"/>
      <c r="C377" s="663"/>
      <c r="D377" s="663"/>
      <c r="E377" s="663"/>
      <c r="F377" s="663"/>
      <c r="G377" s="663"/>
      <c r="H377" s="663"/>
      <c r="I377" s="663"/>
      <c r="J377" s="663"/>
      <c r="K377" s="663"/>
      <c r="L377" s="663"/>
      <c r="M377" s="663"/>
      <c r="N377" s="663"/>
      <c r="O377" s="663"/>
      <c r="P377" s="663"/>
      <c r="Q377" s="663"/>
      <c r="R377" s="663"/>
      <c r="S377" s="663"/>
      <c r="T377" s="663"/>
      <c r="U377" s="663"/>
      <c r="V377" s="663"/>
      <c r="W377" s="663"/>
      <c r="X377" s="663"/>
      <c r="Y377" s="663"/>
      <c r="Z377" s="663"/>
      <c r="AA377" s="663"/>
      <c r="AB377" s="663"/>
      <c r="AC377" s="663"/>
      <c r="AD377" s="663"/>
      <c r="AE377" s="663"/>
      <c r="AF377" s="663"/>
      <c r="AG377" s="663"/>
      <c r="AH377" s="663"/>
    </row>
    <row r="378" ht="15" customHeight="1">
      <c r="A378" s="663"/>
      <c r="B378" s="663"/>
      <c r="C378" s="663"/>
      <c r="D378" s="663"/>
      <c r="E378" s="663"/>
      <c r="F378" s="663"/>
      <c r="G378" s="663"/>
      <c r="H378" s="663"/>
      <c r="I378" s="663"/>
      <c r="J378" s="663"/>
      <c r="K378" s="663"/>
      <c r="L378" s="663"/>
      <c r="M378" s="663"/>
      <c r="N378" s="663"/>
      <c r="O378" s="663"/>
      <c r="P378" s="663"/>
      <c r="Q378" s="663"/>
      <c r="R378" s="663"/>
      <c r="S378" s="663"/>
      <c r="T378" s="663"/>
      <c r="U378" s="663"/>
      <c r="V378" s="663"/>
      <c r="W378" s="663"/>
      <c r="X378" s="663"/>
      <c r="Y378" s="663"/>
      <c r="Z378" s="663"/>
      <c r="AA378" s="663"/>
      <c r="AB378" s="663"/>
      <c r="AC378" s="663"/>
      <c r="AD378" s="663"/>
      <c r="AE378" s="663"/>
      <c r="AF378" s="663"/>
      <c r="AG378" s="663"/>
      <c r="AH378" s="663"/>
    </row>
    <row r="379" ht="15" customHeight="1">
      <c r="A379" s="663"/>
      <c r="B379" s="663"/>
      <c r="C379" s="663"/>
      <c r="D379" s="663"/>
      <c r="E379" s="663"/>
      <c r="F379" s="663"/>
      <c r="G379" s="663"/>
      <c r="H379" s="663"/>
      <c r="I379" s="663"/>
      <c r="J379" s="663"/>
      <c r="K379" s="663"/>
      <c r="L379" s="663"/>
      <c r="M379" s="663"/>
      <c r="N379" s="663"/>
      <c r="O379" s="663"/>
      <c r="P379" s="663"/>
      <c r="Q379" s="663"/>
      <c r="R379" s="663"/>
      <c r="S379" s="663"/>
      <c r="T379" s="663"/>
      <c r="U379" s="663"/>
      <c r="V379" s="663"/>
      <c r="W379" s="663"/>
      <c r="X379" s="663"/>
      <c r="Y379" s="663"/>
      <c r="Z379" s="663"/>
      <c r="AA379" s="663"/>
      <c r="AB379" s="663"/>
      <c r="AC379" s="663"/>
      <c r="AD379" s="663"/>
      <c r="AE379" s="663"/>
      <c r="AF379" s="663"/>
      <c r="AG379" s="663"/>
      <c r="AH379" s="663"/>
    </row>
    <row r="380" ht="15" customHeight="1">
      <c r="A380" s="663"/>
      <c r="B380" s="663"/>
      <c r="C380" s="663"/>
      <c r="D380" s="663"/>
      <c r="E380" s="663"/>
      <c r="F380" s="663"/>
      <c r="G380" s="663"/>
      <c r="H380" s="663"/>
      <c r="I380" s="663"/>
      <c r="J380" s="663"/>
      <c r="K380" s="663"/>
      <c r="L380" s="663"/>
      <c r="M380" s="663"/>
      <c r="N380" s="663"/>
      <c r="O380" s="663"/>
      <c r="P380" s="663"/>
      <c r="Q380" s="663"/>
      <c r="R380" s="663"/>
      <c r="S380" s="663"/>
      <c r="T380" s="663"/>
      <c r="U380" s="663"/>
      <c r="V380" s="663"/>
      <c r="W380" s="663"/>
      <c r="X380" s="663"/>
      <c r="Y380" s="663"/>
      <c r="Z380" s="663"/>
      <c r="AA380" s="663"/>
      <c r="AB380" s="663"/>
      <c r="AC380" s="663"/>
      <c r="AD380" s="663"/>
      <c r="AE380" s="663"/>
      <c r="AF380" s="663"/>
      <c r="AG380" s="663"/>
      <c r="AH380" s="663"/>
    </row>
  </sheetData>
  <pageMargins left="0.7" right="0.7" top="0.75" bottom="0.75" header="0.3" footer="0.3"/>
  <pageSetup firstPageNumber="1" fitToHeight="1" fitToWidth="1" scale="100" useFirstPageNumber="0" orientation="landscape" pageOrder="downThenOver"/>
  <headerFooter>
    <oddFooter>&amp;C&amp;"Helvetica Neue,Regular"&amp;12&amp;K000000&amp;P</oddFooter>
  </headerFooter>
</worksheet>
</file>

<file path=xl/worksheets/sheet4.xml><?xml version="1.0" encoding="utf-8"?>
<worksheet xmlns:r="http://schemas.openxmlformats.org/officeDocument/2006/relationships" xmlns="http://schemas.openxmlformats.org/spreadsheetml/2006/main">
  <dimension ref="A1:AG320"/>
  <sheetViews>
    <sheetView workbookViewId="0" showGridLines="0" defaultGridColor="1"/>
  </sheetViews>
  <sheetFormatPr defaultColWidth="8.83333" defaultRowHeight="15" customHeight="1" outlineLevelRow="0" outlineLevelCol="0"/>
  <cols>
    <col min="1" max="1" width="8.85156" style="695" customWidth="1"/>
    <col min="2" max="2" width="46.5" style="695" customWidth="1"/>
    <col min="3" max="15" width="8.85156" style="695" customWidth="1"/>
    <col min="16" max="17" width="14.3516" style="695" customWidth="1"/>
    <col min="18" max="33" width="8.85156" style="695" customWidth="1"/>
    <col min="34" max="256" width="8.85156" style="695" customWidth="1"/>
  </cols>
  <sheetData>
    <row r="1" ht="43.2" customHeight="1">
      <c r="A1" s="696"/>
      <c r="B1" t="s" s="697">
        <v>439</v>
      </c>
      <c r="C1" t="s" s="698">
        <v>440</v>
      </c>
      <c r="D1" t="s" s="698">
        <v>441</v>
      </c>
      <c r="E1" t="s" s="698">
        <v>442</v>
      </c>
      <c r="F1" t="s" s="698">
        <v>443</v>
      </c>
      <c r="G1" t="s" s="698">
        <v>444</v>
      </c>
      <c r="H1" t="s" s="698">
        <v>445</v>
      </c>
      <c r="I1" t="s" s="698">
        <v>446</v>
      </c>
      <c r="J1" t="s" s="698">
        <v>447</v>
      </c>
      <c r="K1" t="s" s="698">
        <v>448</v>
      </c>
      <c r="L1" t="s" s="698">
        <v>449</v>
      </c>
      <c r="M1" t="s" s="698">
        <v>450</v>
      </c>
      <c r="N1" t="s" s="698">
        <v>451</v>
      </c>
      <c r="O1" t="s" s="698">
        <v>452</v>
      </c>
      <c r="P1" t="s" s="698">
        <v>453</v>
      </c>
      <c r="Q1" t="s" s="698">
        <v>454</v>
      </c>
      <c r="R1" t="s" s="699">
        <v>455</v>
      </c>
      <c r="S1" t="s" s="699">
        <v>456</v>
      </c>
      <c r="T1" t="s" s="699">
        <v>457</v>
      </c>
      <c r="U1" t="s" s="700">
        <v>458</v>
      </c>
      <c r="V1" t="s" s="700">
        <v>459</v>
      </c>
      <c r="W1" t="s" s="700">
        <v>460</v>
      </c>
      <c r="X1" t="s" s="700">
        <v>461</v>
      </c>
      <c r="Y1" t="s" s="700">
        <v>462</v>
      </c>
      <c r="Z1" t="s" s="700">
        <v>463</v>
      </c>
      <c r="AA1" t="s" s="700">
        <v>464</v>
      </c>
      <c r="AB1" t="s" s="700">
        <v>465</v>
      </c>
      <c r="AC1" s="701"/>
      <c r="AD1" s="701"/>
      <c r="AE1" t="s" s="700">
        <v>466</v>
      </c>
      <c r="AF1" s="702"/>
      <c r="AG1" s="703"/>
    </row>
    <row r="2" ht="13.2" customHeight="1">
      <c r="A2" s="704">
        <v>1</v>
      </c>
      <c r="B2" t="s" s="705">
        <v>91</v>
      </c>
      <c r="C2" s="706">
        <v>0.75</v>
      </c>
      <c r="D2" s="706">
        <v>0</v>
      </c>
      <c r="E2" s="706">
        <v>0</v>
      </c>
      <c r="F2" s="706">
        <v>0</v>
      </c>
      <c r="G2" s="706">
        <v>0</v>
      </c>
      <c r="H2" s="706">
        <v>12</v>
      </c>
      <c r="I2" s="706">
        <v>24</v>
      </c>
      <c r="J2" s="706">
        <v>24</v>
      </c>
      <c r="K2" s="706">
        <v>2</v>
      </c>
      <c r="L2" s="707">
        <v>0.75</v>
      </c>
      <c r="M2" s="707">
        <v>0.4</v>
      </c>
      <c r="N2" s="708">
        <f t="shared" si="0" ref="N2:N35">'Planner Worksheet'!$G$17</f>
        <v>43451</v>
      </c>
      <c r="O2" s="708">
        <f>'Planner Worksheet'!$G$17+'System Activities'!C5</f>
        <v>43462</v>
      </c>
      <c r="P2" s="708"/>
      <c r="Q2" s="708"/>
      <c r="R2" s="709">
        <v>10</v>
      </c>
      <c r="S2" s="710"/>
      <c r="T2" s="710"/>
      <c r="U2" s="710"/>
      <c r="V2" s="710"/>
      <c r="W2" s="710"/>
      <c r="X2" s="710"/>
      <c r="Y2" s="710"/>
      <c r="Z2" s="710"/>
      <c r="AA2" s="710"/>
      <c r="AB2" s="710"/>
      <c r="AC2" s="711"/>
      <c r="AD2" s="711"/>
      <c r="AE2" s="709">
        <v>12</v>
      </c>
      <c r="AF2" s="710"/>
      <c r="AG2" s="712"/>
    </row>
    <row r="3" ht="12.7" customHeight="1">
      <c r="A3" s="713">
        <v>2</v>
      </c>
      <c r="B3" t="s" s="714">
        <v>94</v>
      </c>
      <c r="C3" s="709">
        <v>0.97</v>
      </c>
      <c r="D3" s="709">
        <v>0</v>
      </c>
      <c r="E3" s="709">
        <v>0</v>
      </c>
      <c r="F3" s="709">
        <v>0</v>
      </c>
      <c r="G3" s="709">
        <v>0</v>
      </c>
      <c r="H3" s="709">
        <v>6</v>
      </c>
      <c r="I3" s="709">
        <v>12</v>
      </c>
      <c r="J3" s="709">
        <v>12</v>
      </c>
      <c r="K3" s="709">
        <v>2</v>
      </c>
      <c r="L3" s="715">
        <v>0.75</v>
      </c>
      <c r="M3" s="715">
        <v>0.4</v>
      </c>
      <c r="N3" s="716">
        <f t="shared" si="0"/>
        <v>43451</v>
      </c>
      <c r="O3" s="716">
        <f>'Planner Worksheet'!$G$17+'System Activities'!C13</f>
        <v>43456</v>
      </c>
      <c r="P3" s="710"/>
      <c r="Q3" s="710"/>
      <c r="R3" s="709">
        <v>6</v>
      </c>
      <c r="S3" s="710"/>
      <c r="T3" s="710"/>
      <c r="U3" s="710"/>
      <c r="V3" s="710"/>
      <c r="W3" s="710"/>
      <c r="X3" s="710"/>
      <c r="Y3" s="710"/>
      <c r="Z3" s="710"/>
      <c r="AA3" s="710"/>
      <c r="AB3" s="710"/>
      <c r="AC3" s="711"/>
      <c r="AD3" s="711"/>
      <c r="AE3" s="709">
        <v>8</v>
      </c>
      <c r="AF3" s="710"/>
      <c r="AG3" s="712"/>
    </row>
    <row r="4" ht="12.7" customHeight="1">
      <c r="A4" s="717">
        <v>3</v>
      </c>
      <c r="B4" t="s" s="718">
        <v>467</v>
      </c>
      <c r="C4" s="719">
        <v>2</v>
      </c>
      <c r="D4" s="719">
        <v>0</v>
      </c>
      <c r="E4" s="719">
        <v>0</v>
      </c>
      <c r="F4" s="719">
        <v>0</v>
      </c>
      <c r="G4" s="719">
        <v>0</v>
      </c>
      <c r="H4" s="719">
        <v>6</v>
      </c>
      <c r="I4" s="719">
        <v>12</v>
      </c>
      <c r="J4" s="719">
        <v>12</v>
      </c>
      <c r="K4" s="719">
        <v>3</v>
      </c>
      <c r="L4" s="720">
        <v>0.75</v>
      </c>
      <c r="M4" s="720">
        <v>0.4</v>
      </c>
      <c r="N4" s="721">
        <f t="shared" si="0"/>
        <v>43451</v>
      </c>
      <c r="O4" s="721">
        <f>'Planner Worksheet'!$G$17+'System Activities'!C24</f>
        <v>43456</v>
      </c>
      <c r="P4" s="722"/>
      <c r="Q4" s="722"/>
      <c r="R4" s="719">
        <v>7</v>
      </c>
      <c r="S4" s="722"/>
      <c r="T4" s="722"/>
      <c r="U4" s="722"/>
      <c r="V4" s="722"/>
      <c r="W4" s="722"/>
      <c r="X4" s="722"/>
      <c r="Y4" s="722"/>
      <c r="Z4" s="722"/>
      <c r="AA4" s="722"/>
      <c r="AB4" s="722"/>
      <c r="AC4" s="723"/>
      <c r="AD4" s="723"/>
      <c r="AE4" s="719">
        <v>20</v>
      </c>
      <c r="AF4" s="722"/>
      <c r="AG4" s="724"/>
    </row>
    <row r="5" ht="12.7" customHeight="1">
      <c r="A5" s="725">
        <v>4</v>
      </c>
      <c r="B5" t="s" s="726">
        <v>102</v>
      </c>
      <c r="C5" s="727">
        <v>1.17</v>
      </c>
      <c r="D5" s="727">
        <v>0</v>
      </c>
      <c r="E5" s="727">
        <v>0</v>
      </c>
      <c r="F5" s="727">
        <v>0</v>
      </c>
      <c r="G5" s="727">
        <v>0</v>
      </c>
      <c r="H5" s="727">
        <v>11</v>
      </c>
      <c r="I5" s="727">
        <v>22</v>
      </c>
      <c r="J5" s="727">
        <v>22</v>
      </c>
      <c r="K5" s="727">
        <v>2</v>
      </c>
      <c r="L5" s="728">
        <v>0.75</v>
      </c>
      <c r="M5" s="728">
        <v>0.4</v>
      </c>
      <c r="N5" s="729">
        <f t="shared" si="0"/>
        <v>43451</v>
      </c>
      <c r="O5" s="729">
        <f>'Planner Worksheet'!$G$17+'System Activities'!C32</f>
        <v>43461</v>
      </c>
      <c r="P5" s="730"/>
      <c r="Q5" s="730"/>
      <c r="R5" s="727">
        <v>11</v>
      </c>
      <c r="S5" s="730"/>
      <c r="T5" s="730"/>
      <c r="U5" s="730"/>
      <c r="V5" s="730"/>
      <c r="W5" s="730"/>
      <c r="X5" s="730"/>
      <c r="Y5" s="730"/>
      <c r="Z5" s="730"/>
      <c r="AA5" s="730"/>
      <c r="AB5" s="730"/>
      <c r="AC5" s="731"/>
      <c r="AD5" s="731"/>
      <c r="AE5" s="730"/>
      <c r="AF5" s="730"/>
      <c r="AG5" s="730"/>
    </row>
    <row r="6" ht="12.7" customHeight="1">
      <c r="A6" s="725">
        <v>5</v>
      </c>
      <c r="B6" t="s" s="726">
        <v>107</v>
      </c>
      <c r="C6" s="727">
        <v>1</v>
      </c>
      <c r="D6" s="727">
        <v>0</v>
      </c>
      <c r="E6" s="727">
        <v>0</v>
      </c>
      <c r="F6" s="727">
        <v>14</v>
      </c>
      <c r="G6" s="727">
        <v>37</v>
      </c>
      <c r="H6" s="727">
        <v>6</v>
      </c>
      <c r="I6" s="727">
        <v>12</v>
      </c>
      <c r="J6" s="727">
        <v>12</v>
      </c>
      <c r="K6" s="727">
        <v>2</v>
      </c>
      <c r="L6" s="728">
        <v>0.75</v>
      </c>
      <c r="M6" s="728">
        <v>0.45</v>
      </c>
      <c r="N6" s="729">
        <f t="shared" si="0"/>
        <v>43451</v>
      </c>
      <c r="O6" s="729">
        <f>'Planner Worksheet'!$G$17+'System Activities'!C44</f>
        <v>43456</v>
      </c>
      <c r="P6" s="729">
        <f>'Planner Worksheet'!$G$17+'System Activities'!C38</f>
        <v>43420</v>
      </c>
      <c r="Q6" s="729">
        <f>'Planner Worksheet'!$G$17+'System Activities'!C39</f>
        <v>43433</v>
      </c>
      <c r="R6" s="727">
        <v>6</v>
      </c>
      <c r="S6" s="730"/>
      <c r="T6" s="730"/>
      <c r="U6" s="730"/>
      <c r="V6" s="730"/>
      <c r="W6" s="730"/>
      <c r="X6" s="730"/>
      <c r="Y6" s="730"/>
      <c r="Z6" s="730"/>
      <c r="AA6" s="730"/>
      <c r="AB6" s="730"/>
      <c r="AC6" s="731"/>
      <c r="AD6" s="731"/>
      <c r="AE6" s="727">
        <v>37</v>
      </c>
      <c r="AF6" s="730"/>
      <c r="AG6" s="730"/>
    </row>
    <row r="7" ht="12.7" customHeight="1">
      <c r="A7" s="725">
        <v>6</v>
      </c>
      <c r="B7" t="s" s="726">
        <v>110</v>
      </c>
      <c r="C7" s="727">
        <v>1</v>
      </c>
      <c r="D7" s="727">
        <v>0</v>
      </c>
      <c r="E7" s="727">
        <v>0</v>
      </c>
      <c r="F7" s="727">
        <v>14</v>
      </c>
      <c r="G7" s="727">
        <v>39</v>
      </c>
      <c r="H7" s="727">
        <v>6</v>
      </c>
      <c r="I7" s="727">
        <v>14</v>
      </c>
      <c r="J7" s="727">
        <v>14</v>
      </c>
      <c r="K7" s="727">
        <v>2</v>
      </c>
      <c r="L7" s="728">
        <v>0.75</v>
      </c>
      <c r="M7" s="728">
        <v>0.45</v>
      </c>
      <c r="N7" s="729">
        <f t="shared" si="0"/>
        <v>43451</v>
      </c>
      <c r="O7" s="729">
        <f>'Planner Worksheet'!$G$17+'System Activities'!C53</f>
        <v>43457</v>
      </c>
      <c r="P7" s="729">
        <f>'Planner Worksheet'!$G$17+'System Activities'!C47</f>
        <v>43419</v>
      </c>
      <c r="Q7" s="729">
        <f>'Planner Worksheet'!$G$17+'System Activities'!C48</f>
        <v>43432</v>
      </c>
      <c r="R7" s="727">
        <v>6</v>
      </c>
      <c r="S7" s="730"/>
      <c r="T7" s="730"/>
      <c r="U7" s="730"/>
      <c r="V7" s="730"/>
      <c r="W7" s="730"/>
      <c r="X7" s="730"/>
      <c r="Y7" s="730"/>
      <c r="Z7" s="730"/>
      <c r="AA7" s="730"/>
      <c r="AB7" s="730"/>
      <c r="AC7" s="731"/>
      <c r="AD7" s="731"/>
      <c r="AE7" s="727">
        <v>39</v>
      </c>
      <c r="AF7" s="730"/>
      <c r="AG7" s="730"/>
    </row>
    <row r="8" ht="12.7" customHeight="1">
      <c r="A8" s="732">
        <v>7</v>
      </c>
      <c r="B8" t="s" s="733">
        <v>468</v>
      </c>
      <c r="C8" s="734">
        <v>0.93</v>
      </c>
      <c r="D8" s="734">
        <v>1</v>
      </c>
      <c r="E8" s="734">
        <v>0</v>
      </c>
      <c r="F8" s="734">
        <v>0</v>
      </c>
      <c r="G8" s="734">
        <v>0</v>
      </c>
      <c r="H8" s="734">
        <v>8</v>
      </c>
      <c r="I8" s="734">
        <v>16</v>
      </c>
      <c r="J8" s="734">
        <v>16</v>
      </c>
      <c r="K8" s="734">
        <v>3</v>
      </c>
      <c r="L8" s="735">
        <v>0.75</v>
      </c>
      <c r="M8" s="735">
        <v>0.45</v>
      </c>
      <c r="N8" s="736">
        <f t="shared" si="0"/>
        <v>43451</v>
      </c>
      <c r="O8" s="736">
        <f>'Planner Worksheet'!$G$17+'System Activities'!C60</f>
        <v>43458</v>
      </c>
      <c r="P8" s="737"/>
      <c r="Q8" s="737"/>
      <c r="R8" s="734">
        <v>9</v>
      </c>
      <c r="S8" s="737"/>
      <c r="T8" s="737"/>
      <c r="U8" s="737"/>
      <c r="V8" s="737"/>
      <c r="W8" s="737"/>
      <c r="X8" s="737"/>
      <c r="Y8" s="737"/>
      <c r="Z8" s="737"/>
      <c r="AA8" s="737"/>
      <c r="AB8" s="737"/>
      <c r="AC8" s="738"/>
      <c r="AD8" s="738"/>
      <c r="AE8" s="734">
        <v>13</v>
      </c>
      <c r="AF8" s="737"/>
      <c r="AG8" s="739"/>
    </row>
    <row r="9" ht="12.7" customHeight="1">
      <c r="A9" s="713">
        <v>8</v>
      </c>
      <c r="B9" t="s" s="714">
        <v>116</v>
      </c>
      <c r="C9" s="709">
        <v>1</v>
      </c>
      <c r="D9" s="709">
        <v>1</v>
      </c>
      <c r="E9" s="709">
        <v>0</v>
      </c>
      <c r="F9" s="709">
        <v>14</v>
      </c>
      <c r="G9" s="709">
        <v>39</v>
      </c>
      <c r="H9" s="709">
        <v>6</v>
      </c>
      <c r="I9" s="709">
        <v>12</v>
      </c>
      <c r="J9" s="709">
        <v>12</v>
      </c>
      <c r="K9" s="709">
        <v>3</v>
      </c>
      <c r="L9" s="715">
        <v>0.75</v>
      </c>
      <c r="M9" s="715">
        <v>0.45</v>
      </c>
      <c r="N9" s="716">
        <f t="shared" si="0"/>
        <v>43451</v>
      </c>
      <c r="O9" s="716">
        <f>'Planner Worksheet'!$G$17+'System Activities'!C72</f>
        <v>43456</v>
      </c>
      <c r="P9" s="716">
        <f>'Planner Worksheet'!$G$17+'System Activities'!C65</f>
        <v>43419</v>
      </c>
      <c r="Q9" s="716">
        <f>'Planner Worksheet'!$G$17+'System Activities'!C66</f>
        <v>43432</v>
      </c>
      <c r="R9" s="709">
        <v>7</v>
      </c>
      <c r="S9" s="710"/>
      <c r="T9" s="710"/>
      <c r="U9" s="710"/>
      <c r="V9" s="710"/>
      <c r="W9" s="710"/>
      <c r="X9" s="710"/>
      <c r="Y9" s="710"/>
      <c r="Z9" s="710"/>
      <c r="AA9" s="710"/>
      <c r="AB9" s="710"/>
      <c r="AC9" s="711"/>
      <c r="AD9" s="711"/>
      <c r="AE9" s="710"/>
      <c r="AF9" s="710"/>
      <c r="AG9" s="712"/>
    </row>
    <row r="10" ht="12.7" customHeight="1">
      <c r="A10" s="740">
        <v>9</v>
      </c>
      <c r="B10" t="s" s="741">
        <v>118</v>
      </c>
      <c r="C10" s="742">
        <v>1</v>
      </c>
      <c r="D10" s="742">
        <v>1.35</v>
      </c>
      <c r="E10" s="742">
        <v>0</v>
      </c>
      <c r="F10" s="742">
        <v>14</v>
      </c>
      <c r="G10" s="742">
        <v>36</v>
      </c>
      <c r="H10" s="742">
        <v>4</v>
      </c>
      <c r="I10" s="742">
        <v>8</v>
      </c>
      <c r="J10" s="742">
        <v>7</v>
      </c>
      <c r="K10" s="742">
        <v>3</v>
      </c>
      <c r="L10" s="743">
        <v>1</v>
      </c>
      <c r="M10" s="743">
        <v>0.35</v>
      </c>
      <c r="N10" s="744">
        <f t="shared" si="0"/>
        <v>43451</v>
      </c>
      <c r="O10" s="744">
        <f>'Planner Worksheet'!$G$17+'System Activities'!C81</f>
        <v>43454</v>
      </c>
      <c r="P10" s="745">
        <f>'Planner Worksheet'!$G$17+'System Activities'!C74</f>
        <v>43419</v>
      </c>
      <c r="Q10" s="745">
        <f>'Planner Worksheet'!$G$17+'System Activities'!C75</f>
        <v>43432</v>
      </c>
      <c r="R10" s="742">
        <v>5</v>
      </c>
      <c r="S10" s="746"/>
      <c r="T10" s="742">
        <v>12</v>
      </c>
      <c r="U10" s="742">
        <v>2.8</v>
      </c>
      <c r="V10" s="742">
        <v>2.8</v>
      </c>
      <c r="W10" s="742">
        <v>2.9</v>
      </c>
      <c r="X10" s="742">
        <v>5.8</v>
      </c>
      <c r="Y10" s="742">
        <v>0</v>
      </c>
      <c r="Z10" s="742">
        <v>0</v>
      </c>
      <c r="AA10" s="742">
        <v>2.8</v>
      </c>
      <c r="AB10" s="742">
        <v>2.8</v>
      </c>
      <c r="AC10" s="747">
        <f>U10+W10+Y10+AA10</f>
        <v>8.5</v>
      </c>
      <c r="AD10" s="747">
        <f>V10+X10+Z10+AB10</f>
        <v>11.4</v>
      </c>
      <c r="AE10" s="746"/>
      <c r="AF10" s="746"/>
      <c r="AG10" s="746"/>
    </row>
    <row r="11" ht="12.7" customHeight="1">
      <c r="A11" s="748">
        <v>10</v>
      </c>
      <c r="B11" t="s" s="749">
        <v>469</v>
      </c>
      <c r="C11" s="750">
        <v>1</v>
      </c>
      <c r="D11" s="750">
        <v>2</v>
      </c>
      <c r="E11" s="750">
        <v>0</v>
      </c>
      <c r="F11" s="750">
        <v>0</v>
      </c>
      <c r="G11" s="750">
        <v>0</v>
      </c>
      <c r="H11" s="750">
        <v>1</v>
      </c>
      <c r="I11" s="750">
        <v>1</v>
      </c>
      <c r="J11" s="750">
        <v>0</v>
      </c>
      <c r="K11" s="750">
        <v>3</v>
      </c>
      <c r="L11" s="751">
        <v>1</v>
      </c>
      <c r="M11" s="751">
        <v>0.35</v>
      </c>
      <c r="N11" s="752"/>
      <c r="O11" s="752"/>
      <c r="P11" s="753"/>
      <c r="Q11" s="753"/>
      <c r="R11" s="750">
        <v>3</v>
      </c>
      <c r="S11" s="753"/>
      <c r="T11" s="750">
        <v>4</v>
      </c>
      <c r="U11" s="753"/>
      <c r="V11" s="753"/>
      <c r="W11" s="753"/>
      <c r="X11" s="753"/>
      <c r="Y11" s="753"/>
      <c r="Z11" s="753"/>
      <c r="AA11" s="753"/>
      <c r="AB11" s="753"/>
      <c r="AC11" s="754"/>
      <c r="AD11" s="754"/>
      <c r="AE11" s="750">
        <v>10</v>
      </c>
      <c r="AF11" s="753"/>
      <c r="AG11" s="753"/>
    </row>
    <row r="12" ht="12.7" customHeight="1">
      <c r="A12" s="748">
        <v>11</v>
      </c>
      <c r="B12" t="s" s="749">
        <v>470</v>
      </c>
      <c r="C12" s="750">
        <v>1</v>
      </c>
      <c r="D12" s="750">
        <v>2</v>
      </c>
      <c r="E12" s="750">
        <v>0</v>
      </c>
      <c r="F12" s="750">
        <v>0</v>
      </c>
      <c r="G12" s="750">
        <v>2</v>
      </c>
      <c r="H12" s="750">
        <v>1</v>
      </c>
      <c r="I12" s="750">
        <v>1</v>
      </c>
      <c r="J12" s="750">
        <v>0</v>
      </c>
      <c r="K12" s="750">
        <v>3</v>
      </c>
      <c r="L12" s="751">
        <v>1</v>
      </c>
      <c r="M12" s="751">
        <v>0.45</v>
      </c>
      <c r="N12" s="752"/>
      <c r="O12" s="752"/>
      <c r="P12" s="753"/>
      <c r="Q12" s="753"/>
      <c r="R12" s="750">
        <v>3</v>
      </c>
      <c r="S12" s="753"/>
      <c r="T12" s="750">
        <v>4</v>
      </c>
      <c r="U12" s="753"/>
      <c r="V12" s="753"/>
      <c r="W12" s="753"/>
      <c r="X12" s="753"/>
      <c r="Y12" s="753"/>
      <c r="Z12" s="753"/>
      <c r="AA12" s="753"/>
      <c r="AB12" s="753"/>
      <c r="AC12" s="754"/>
      <c r="AD12" s="754"/>
      <c r="AE12" s="753"/>
      <c r="AF12" s="753"/>
      <c r="AG12" s="753"/>
    </row>
    <row r="13" ht="12.7" customHeight="1">
      <c r="A13" s="725">
        <v>12</v>
      </c>
      <c r="B13" t="s" s="726">
        <v>126</v>
      </c>
      <c r="C13" s="727">
        <v>2</v>
      </c>
      <c r="D13" s="727">
        <v>1</v>
      </c>
      <c r="E13" s="727">
        <v>0</v>
      </c>
      <c r="F13" s="727">
        <v>7</v>
      </c>
      <c r="G13" s="727">
        <v>23</v>
      </c>
      <c r="H13" s="727">
        <v>6</v>
      </c>
      <c r="I13" s="727">
        <v>12</v>
      </c>
      <c r="J13" s="727">
        <v>12</v>
      </c>
      <c r="K13" s="727">
        <v>4</v>
      </c>
      <c r="L13" s="728">
        <v>0.75</v>
      </c>
      <c r="M13" s="728">
        <v>0.45</v>
      </c>
      <c r="N13" s="729">
        <f t="shared" si="0"/>
        <v>43451</v>
      </c>
      <c r="O13" s="729">
        <f>'Planner Worksheet'!$G$17+'System Activities'!C107</f>
        <v>43456</v>
      </c>
      <c r="P13" s="729">
        <f>'Planner Worksheet'!$G$17+'System Activities'!C101</f>
        <v>43434</v>
      </c>
      <c r="Q13" s="729">
        <f>'Planner Worksheet'!$G$17+'System Activities'!C102</f>
        <v>43440</v>
      </c>
      <c r="R13" s="727">
        <v>8</v>
      </c>
      <c r="S13" s="730"/>
      <c r="T13" s="730"/>
      <c r="U13" s="730"/>
      <c r="V13" s="730"/>
      <c r="W13" s="730"/>
      <c r="X13" s="730"/>
      <c r="Y13" s="730"/>
      <c r="Z13" s="730"/>
      <c r="AA13" s="730"/>
      <c r="AB13" s="730"/>
      <c r="AC13" s="731"/>
      <c r="AD13" s="731"/>
      <c r="AE13" s="727">
        <v>23</v>
      </c>
      <c r="AF13" s="730"/>
      <c r="AG13" s="730"/>
    </row>
    <row r="14" ht="12.7" customHeight="1">
      <c r="A14" s="748">
        <v>13</v>
      </c>
      <c r="B14" t="s" s="749">
        <v>471</v>
      </c>
      <c r="C14" s="750">
        <v>1</v>
      </c>
      <c r="D14" s="750">
        <v>2</v>
      </c>
      <c r="E14" s="750">
        <v>0</v>
      </c>
      <c r="F14" s="750">
        <v>0</v>
      </c>
      <c r="G14" s="750">
        <v>0</v>
      </c>
      <c r="H14" s="750">
        <v>1</v>
      </c>
      <c r="I14" s="750">
        <v>1</v>
      </c>
      <c r="J14" s="750">
        <v>0</v>
      </c>
      <c r="K14" s="750">
        <v>4</v>
      </c>
      <c r="L14" s="751">
        <v>1</v>
      </c>
      <c r="M14" s="751">
        <v>0.35</v>
      </c>
      <c r="N14" s="752"/>
      <c r="O14" s="752"/>
      <c r="P14" s="753"/>
      <c r="Q14" s="753"/>
      <c r="R14" s="750">
        <v>4</v>
      </c>
      <c r="S14" s="753"/>
      <c r="T14" s="750">
        <v>8</v>
      </c>
      <c r="U14" s="753"/>
      <c r="V14" s="753"/>
      <c r="W14" s="753"/>
      <c r="X14" s="753"/>
      <c r="Y14" s="753"/>
      <c r="Z14" s="753"/>
      <c r="AA14" s="753"/>
      <c r="AB14" s="753"/>
      <c r="AC14" s="754"/>
      <c r="AD14" s="754"/>
      <c r="AE14" s="750">
        <v>11</v>
      </c>
      <c r="AF14" s="753"/>
      <c r="AG14" s="753"/>
    </row>
    <row r="15" ht="12.7" customHeight="1">
      <c r="A15" s="732">
        <v>14</v>
      </c>
      <c r="B15" t="s" s="733">
        <v>133</v>
      </c>
      <c r="C15" s="734">
        <v>1</v>
      </c>
      <c r="D15" s="734">
        <v>1</v>
      </c>
      <c r="E15" s="734">
        <v>1</v>
      </c>
      <c r="F15" s="734">
        <v>0</v>
      </c>
      <c r="G15" s="734">
        <v>0</v>
      </c>
      <c r="H15" s="734">
        <v>6</v>
      </c>
      <c r="I15" s="734">
        <v>12</v>
      </c>
      <c r="J15" s="734">
        <v>12</v>
      </c>
      <c r="K15" s="734">
        <v>3</v>
      </c>
      <c r="L15" s="735">
        <v>0.75</v>
      </c>
      <c r="M15" s="735">
        <v>0.45</v>
      </c>
      <c r="N15" s="736">
        <f t="shared" si="0"/>
        <v>43451</v>
      </c>
      <c r="O15" s="736">
        <f>'Planner Worksheet'!$G$17+'System Activities'!C123</f>
        <v>43456</v>
      </c>
      <c r="P15" s="736"/>
      <c r="Q15" s="737"/>
      <c r="R15" s="734">
        <v>7</v>
      </c>
      <c r="S15" s="737"/>
      <c r="T15" s="737"/>
      <c r="U15" s="737"/>
      <c r="V15" s="737"/>
      <c r="W15" s="737"/>
      <c r="X15" s="737"/>
      <c r="Y15" s="737"/>
      <c r="Z15" s="737"/>
      <c r="AA15" s="737"/>
      <c r="AB15" s="737"/>
      <c r="AC15" s="738"/>
      <c r="AD15" s="738"/>
      <c r="AE15" s="734">
        <v>13</v>
      </c>
      <c r="AF15" s="737"/>
      <c r="AG15" s="739"/>
    </row>
    <row r="16" ht="12.7" customHeight="1">
      <c r="A16" s="717">
        <v>15</v>
      </c>
      <c r="B16" t="s" s="718">
        <v>472</v>
      </c>
      <c r="C16" s="719">
        <v>1</v>
      </c>
      <c r="D16" s="719">
        <v>0</v>
      </c>
      <c r="E16" s="719">
        <v>1</v>
      </c>
      <c r="F16" s="719">
        <v>0</v>
      </c>
      <c r="G16" s="719">
        <v>0</v>
      </c>
      <c r="H16" s="719">
        <v>6</v>
      </c>
      <c r="I16" s="719">
        <v>12</v>
      </c>
      <c r="J16" s="719">
        <v>12</v>
      </c>
      <c r="K16" s="719">
        <v>3</v>
      </c>
      <c r="L16" s="720">
        <v>0.75</v>
      </c>
      <c r="M16" s="720">
        <v>0.45</v>
      </c>
      <c r="N16" s="721">
        <f t="shared" si="0"/>
        <v>43451</v>
      </c>
      <c r="O16" s="721">
        <f>'Planner Worksheet'!$G$17+'System Activities'!C132</f>
        <v>43456</v>
      </c>
      <c r="P16" s="722"/>
      <c r="Q16" s="722"/>
      <c r="R16" s="719">
        <v>7</v>
      </c>
      <c r="S16" s="722"/>
      <c r="T16" s="722"/>
      <c r="U16" s="722"/>
      <c r="V16" s="722"/>
      <c r="W16" s="722"/>
      <c r="X16" s="722"/>
      <c r="Y16" s="722"/>
      <c r="Z16" s="722"/>
      <c r="AA16" s="722"/>
      <c r="AB16" s="722"/>
      <c r="AC16" s="723"/>
      <c r="AD16" s="723"/>
      <c r="AE16" s="719">
        <v>13</v>
      </c>
      <c r="AF16" s="722"/>
      <c r="AG16" s="724"/>
    </row>
    <row r="17" ht="12.7" customHeight="1">
      <c r="A17" s="755">
        <v>16</v>
      </c>
      <c r="B17" t="s" s="756">
        <v>137</v>
      </c>
      <c r="C17" s="757">
        <v>1</v>
      </c>
      <c r="D17" s="757">
        <v>1.35</v>
      </c>
      <c r="E17" s="757">
        <v>1</v>
      </c>
      <c r="F17" s="757">
        <v>0</v>
      </c>
      <c r="G17" s="757">
        <v>0</v>
      </c>
      <c r="H17" s="757">
        <v>4</v>
      </c>
      <c r="I17" s="757">
        <v>8</v>
      </c>
      <c r="J17" s="757">
        <v>7</v>
      </c>
      <c r="K17" s="757">
        <v>3</v>
      </c>
      <c r="L17" s="758">
        <v>1</v>
      </c>
      <c r="M17" s="758">
        <v>0.35</v>
      </c>
      <c r="N17" s="759">
        <f t="shared" si="0"/>
        <v>43451</v>
      </c>
      <c r="O17" s="759">
        <f>'Planner Worksheet'!$G$17+'System Activities'!C141</f>
        <v>43454</v>
      </c>
      <c r="P17" s="760"/>
      <c r="Q17" s="760"/>
      <c r="R17" s="757">
        <v>5</v>
      </c>
      <c r="S17" s="761"/>
      <c r="T17" s="757">
        <v>12</v>
      </c>
      <c r="U17" s="757">
        <v>2.8</v>
      </c>
      <c r="V17" s="757">
        <v>2.8</v>
      </c>
      <c r="W17" s="757">
        <v>2.9</v>
      </c>
      <c r="X17" s="757">
        <v>5.8</v>
      </c>
      <c r="Y17" s="757">
        <v>11</v>
      </c>
      <c r="Z17" s="757">
        <v>11</v>
      </c>
      <c r="AA17" s="757">
        <v>0</v>
      </c>
      <c r="AB17" s="757">
        <v>0</v>
      </c>
      <c r="AC17" s="762">
        <f>U17+W17+Y17+AA17</f>
        <v>16.7</v>
      </c>
      <c r="AD17" s="762">
        <f>V17+X17+Z17+AB17</f>
        <v>19.6</v>
      </c>
      <c r="AE17" s="757">
        <v>11</v>
      </c>
      <c r="AF17" s="761"/>
      <c r="AG17" s="761"/>
    </row>
    <row r="18" ht="12.7" customHeight="1">
      <c r="A18" s="748">
        <v>17</v>
      </c>
      <c r="B18" t="s" s="749">
        <v>139</v>
      </c>
      <c r="C18" s="750">
        <v>1</v>
      </c>
      <c r="D18" s="750">
        <v>2</v>
      </c>
      <c r="E18" s="750">
        <v>0</v>
      </c>
      <c r="F18" s="750">
        <v>14</v>
      </c>
      <c r="G18" s="750">
        <v>36</v>
      </c>
      <c r="H18" s="750">
        <v>1</v>
      </c>
      <c r="I18" s="750">
        <v>1</v>
      </c>
      <c r="J18" s="750">
        <v>0</v>
      </c>
      <c r="K18" s="750">
        <v>3</v>
      </c>
      <c r="L18" s="751">
        <v>1</v>
      </c>
      <c r="M18" s="751">
        <v>0.35</v>
      </c>
      <c r="N18" s="752"/>
      <c r="O18" s="752"/>
      <c r="P18" s="752">
        <f>'Planner Worksheet'!$G$17+'System Activities'!C146</f>
        <v>43416</v>
      </c>
      <c r="Q18" s="752">
        <f>'Planner Worksheet'!$G$17+'System Activities'!C147</f>
        <v>43429</v>
      </c>
      <c r="R18" s="750">
        <v>3</v>
      </c>
      <c r="S18" s="753"/>
      <c r="T18" s="750">
        <v>4</v>
      </c>
      <c r="U18" s="753"/>
      <c r="V18" s="753"/>
      <c r="W18" s="753"/>
      <c r="X18" s="753"/>
      <c r="Y18" s="753"/>
      <c r="Z18" s="753"/>
      <c r="AA18" s="753"/>
      <c r="AB18" s="753"/>
      <c r="AC18" s="754"/>
      <c r="AD18" s="754"/>
      <c r="AE18" s="753"/>
      <c r="AF18" s="753"/>
      <c r="AG18" s="753"/>
    </row>
    <row r="19" ht="12.7" customHeight="1">
      <c r="A19" s="748">
        <v>18</v>
      </c>
      <c r="B19" t="s" s="749">
        <v>142</v>
      </c>
      <c r="C19" s="750">
        <v>2</v>
      </c>
      <c r="D19" s="750">
        <v>2</v>
      </c>
      <c r="E19" s="750">
        <v>0</v>
      </c>
      <c r="F19" s="750">
        <v>7</v>
      </c>
      <c r="G19" s="750">
        <v>21</v>
      </c>
      <c r="H19" s="750">
        <v>1</v>
      </c>
      <c r="I19" s="750">
        <v>1</v>
      </c>
      <c r="J19" s="750">
        <v>0</v>
      </c>
      <c r="K19" s="750">
        <v>4</v>
      </c>
      <c r="L19" s="751">
        <v>1</v>
      </c>
      <c r="M19" s="751">
        <v>0.35</v>
      </c>
      <c r="N19" s="752"/>
      <c r="O19" s="752"/>
      <c r="P19" s="752">
        <f>'Planner Worksheet'!$G$17+'System Activities'!C155</f>
        <v>43427</v>
      </c>
      <c r="Q19" s="752">
        <f>'Planner Worksheet'!$G$17+'System Activities'!C156</f>
        <v>43441</v>
      </c>
      <c r="R19" s="750">
        <v>4</v>
      </c>
      <c r="S19" s="753"/>
      <c r="T19" s="750">
        <v>4</v>
      </c>
      <c r="U19" s="753"/>
      <c r="V19" s="753"/>
      <c r="W19" s="753"/>
      <c r="X19" s="753"/>
      <c r="Y19" s="753"/>
      <c r="Z19" s="753"/>
      <c r="AA19" s="753"/>
      <c r="AB19" s="753"/>
      <c r="AC19" s="754"/>
      <c r="AD19" s="754"/>
      <c r="AE19" s="753"/>
      <c r="AF19" s="753"/>
      <c r="AG19" s="753"/>
    </row>
    <row r="20" ht="12.7" customHeight="1">
      <c r="A20" s="763">
        <v>19</v>
      </c>
      <c r="B20" t="s" s="764">
        <v>145</v>
      </c>
      <c r="C20" s="765">
        <v>0.93</v>
      </c>
      <c r="D20" s="765">
        <v>1.35</v>
      </c>
      <c r="E20" s="765">
        <v>0</v>
      </c>
      <c r="F20" s="765">
        <v>0</v>
      </c>
      <c r="G20" s="765">
        <v>0</v>
      </c>
      <c r="H20" s="765">
        <v>6</v>
      </c>
      <c r="I20" s="765">
        <v>12</v>
      </c>
      <c r="J20" s="765">
        <v>11</v>
      </c>
      <c r="K20" s="765">
        <v>3</v>
      </c>
      <c r="L20" s="766">
        <v>1</v>
      </c>
      <c r="M20" s="766">
        <v>0.3</v>
      </c>
      <c r="N20" s="767">
        <f t="shared" si="0"/>
        <v>43451</v>
      </c>
      <c r="O20" s="767">
        <f>'Planner Worksheet'!$G$17+'System Activities'!C168</f>
        <v>43456</v>
      </c>
      <c r="P20" s="768"/>
      <c r="Q20" s="768"/>
      <c r="R20" s="765">
        <v>7</v>
      </c>
      <c r="S20" s="769"/>
      <c r="T20" s="765">
        <v>12</v>
      </c>
      <c r="U20" s="765">
        <v>2.8</v>
      </c>
      <c r="V20" s="765">
        <v>2.8</v>
      </c>
      <c r="W20" s="765">
        <v>2.9</v>
      </c>
      <c r="X20" s="765">
        <v>5.8</v>
      </c>
      <c r="Y20" s="765">
        <v>0</v>
      </c>
      <c r="Z20" s="765">
        <v>0</v>
      </c>
      <c r="AA20" s="765">
        <v>0</v>
      </c>
      <c r="AB20" s="765">
        <v>0</v>
      </c>
      <c r="AC20" s="770">
        <f>U20+W20+Y20+AA20</f>
        <v>5.699999999999999</v>
      </c>
      <c r="AD20" s="770">
        <f>V20+X20+Z20+AB20</f>
        <v>8.6</v>
      </c>
      <c r="AE20" s="765">
        <v>11</v>
      </c>
      <c r="AF20" s="769"/>
      <c r="AG20" s="769"/>
    </row>
    <row r="21" ht="12.7" customHeight="1">
      <c r="A21" s="771">
        <v>20</v>
      </c>
      <c r="B21" t="s" s="772">
        <v>147</v>
      </c>
      <c r="C21" s="773">
        <v>1.96</v>
      </c>
      <c r="D21" s="773">
        <v>1.35</v>
      </c>
      <c r="E21" s="773">
        <v>0</v>
      </c>
      <c r="F21" s="773">
        <v>7</v>
      </c>
      <c r="G21" s="773">
        <v>21</v>
      </c>
      <c r="H21" s="773">
        <v>4</v>
      </c>
      <c r="I21" s="773">
        <v>8</v>
      </c>
      <c r="J21" s="773">
        <v>7</v>
      </c>
      <c r="K21" s="773">
        <v>4</v>
      </c>
      <c r="L21" s="774">
        <v>1</v>
      </c>
      <c r="M21" s="774">
        <v>0.4</v>
      </c>
      <c r="N21" s="775">
        <f t="shared" si="0"/>
        <v>43451</v>
      </c>
      <c r="O21" s="775">
        <f>'Planner Worksheet'!$G$17+'System Activities'!C179</f>
        <v>43454</v>
      </c>
      <c r="P21" s="776">
        <f>'Planner Worksheet'!$G$17+'System Activities'!C173</f>
        <v>43434</v>
      </c>
      <c r="Q21" s="776">
        <f>'Planner Worksheet'!$G$17+'System Activities'!C174</f>
        <v>43440</v>
      </c>
      <c r="R21" s="773">
        <v>6</v>
      </c>
      <c r="S21" s="777"/>
      <c r="T21" s="773">
        <v>12</v>
      </c>
      <c r="U21" s="773">
        <v>2.8</v>
      </c>
      <c r="V21" s="773">
        <v>2.8</v>
      </c>
      <c r="W21" s="773">
        <v>2.9</v>
      </c>
      <c r="X21" s="773">
        <v>5.8</v>
      </c>
      <c r="Y21" s="773">
        <v>0</v>
      </c>
      <c r="Z21" s="773">
        <v>0</v>
      </c>
      <c r="AA21" s="773">
        <v>2.8</v>
      </c>
      <c r="AB21" s="773">
        <v>2.8</v>
      </c>
      <c r="AC21" s="778">
        <f>U21+W21+Y21+AA21</f>
        <v>8.5</v>
      </c>
      <c r="AD21" s="778">
        <f>V21+X21+Z21+AB21</f>
        <v>11.4</v>
      </c>
      <c r="AE21" s="777"/>
      <c r="AF21" s="777"/>
      <c r="AG21" s="777"/>
    </row>
    <row r="22" ht="12.7" customHeight="1">
      <c r="A22" s="779">
        <v>21</v>
      </c>
      <c r="B22" t="s" s="780">
        <v>148</v>
      </c>
      <c r="C22" s="781">
        <v>0.97</v>
      </c>
      <c r="D22" s="781">
        <v>1.35</v>
      </c>
      <c r="E22" s="781">
        <v>0</v>
      </c>
      <c r="F22" s="781">
        <v>0</v>
      </c>
      <c r="G22" s="781">
        <v>0</v>
      </c>
      <c r="H22" s="781">
        <v>4</v>
      </c>
      <c r="I22" s="781">
        <v>8</v>
      </c>
      <c r="J22" s="781">
        <v>7</v>
      </c>
      <c r="K22" s="781">
        <v>3</v>
      </c>
      <c r="L22" s="782">
        <v>1</v>
      </c>
      <c r="M22" s="782">
        <v>0.35</v>
      </c>
      <c r="N22" s="783">
        <f t="shared" si="0"/>
        <v>43451</v>
      </c>
      <c r="O22" s="783">
        <f>'Planner Worksheet'!$G$17+'System Activities'!C185</f>
        <v>43456</v>
      </c>
      <c r="P22" s="784"/>
      <c r="Q22" s="784"/>
      <c r="R22" s="781">
        <v>7</v>
      </c>
      <c r="S22" s="785"/>
      <c r="T22" s="781">
        <v>12</v>
      </c>
      <c r="U22" s="781">
        <v>0</v>
      </c>
      <c r="V22" s="781">
        <v>2.8</v>
      </c>
      <c r="W22" s="781">
        <v>2.9</v>
      </c>
      <c r="X22" s="781">
        <v>5.8</v>
      </c>
      <c r="Y22" s="781">
        <v>0</v>
      </c>
      <c r="Z22" s="781">
        <v>0</v>
      </c>
      <c r="AA22" s="781">
        <v>0</v>
      </c>
      <c r="AB22" s="781">
        <v>0</v>
      </c>
      <c r="AC22" s="786">
        <f>U22+W22+Y22+AA22</f>
        <v>2.9</v>
      </c>
      <c r="AD22" s="786">
        <f>V22+X22+Z22+AB22</f>
        <v>8.6</v>
      </c>
      <c r="AE22" s="785"/>
      <c r="AF22" s="785"/>
      <c r="AG22" s="785"/>
    </row>
    <row r="23" ht="12.7" customHeight="1">
      <c r="A23" s="748">
        <v>22</v>
      </c>
      <c r="B23" t="s" s="749">
        <v>473</v>
      </c>
      <c r="C23" s="750">
        <v>1</v>
      </c>
      <c r="D23" s="750">
        <v>2</v>
      </c>
      <c r="E23" s="750">
        <v>1</v>
      </c>
      <c r="F23" s="750">
        <v>0</v>
      </c>
      <c r="G23" s="750">
        <v>0</v>
      </c>
      <c r="H23" s="750">
        <v>1</v>
      </c>
      <c r="I23" s="750">
        <v>1</v>
      </c>
      <c r="J23" s="750">
        <v>0</v>
      </c>
      <c r="K23" s="750">
        <v>3</v>
      </c>
      <c r="L23" s="751">
        <v>1</v>
      </c>
      <c r="M23" s="751">
        <v>0.35</v>
      </c>
      <c r="N23" s="752"/>
      <c r="O23" s="752"/>
      <c r="P23" s="753"/>
      <c r="Q23" s="753"/>
      <c r="R23" s="750">
        <v>3</v>
      </c>
      <c r="S23" s="753"/>
      <c r="T23" s="750">
        <v>6</v>
      </c>
      <c r="U23" s="753"/>
      <c r="V23" s="753"/>
      <c r="W23" s="753"/>
      <c r="X23" s="753"/>
      <c r="Y23" s="753"/>
      <c r="Z23" s="753"/>
      <c r="AA23" s="753"/>
      <c r="AB23" s="753"/>
      <c r="AC23" s="754"/>
      <c r="AD23" s="754"/>
      <c r="AE23" s="750">
        <v>11</v>
      </c>
      <c r="AF23" s="753"/>
      <c r="AG23" s="753"/>
    </row>
    <row r="24" ht="12.7" customHeight="1">
      <c r="A24" s="748">
        <v>23</v>
      </c>
      <c r="B24" t="s" s="749">
        <v>474</v>
      </c>
      <c r="C24" s="750">
        <v>1</v>
      </c>
      <c r="D24" s="750">
        <v>2</v>
      </c>
      <c r="E24" s="750">
        <v>1</v>
      </c>
      <c r="F24" s="750">
        <v>0</v>
      </c>
      <c r="G24" s="750">
        <v>0</v>
      </c>
      <c r="H24" s="750">
        <v>1</v>
      </c>
      <c r="I24" s="750">
        <v>1</v>
      </c>
      <c r="J24" s="750">
        <v>0</v>
      </c>
      <c r="K24" s="750">
        <v>3</v>
      </c>
      <c r="L24" s="751">
        <v>1</v>
      </c>
      <c r="M24" s="751">
        <v>0.35</v>
      </c>
      <c r="N24" s="752"/>
      <c r="O24" s="752"/>
      <c r="P24" s="753"/>
      <c r="Q24" s="753"/>
      <c r="R24" s="750">
        <v>3</v>
      </c>
      <c r="S24" s="753"/>
      <c r="T24" s="750">
        <v>6</v>
      </c>
      <c r="U24" s="753"/>
      <c r="V24" s="753"/>
      <c r="W24" s="753"/>
      <c r="X24" s="753"/>
      <c r="Y24" s="753"/>
      <c r="Z24" s="753"/>
      <c r="AA24" s="753"/>
      <c r="AB24" s="753"/>
      <c r="AC24" s="754"/>
      <c r="AD24" s="754"/>
      <c r="AE24" s="750">
        <v>10</v>
      </c>
      <c r="AF24" s="753"/>
      <c r="AG24" s="753"/>
    </row>
    <row r="25" ht="12.7" customHeight="1">
      <c r="A25" s="755">
        <v>24</v>
      </c>
      <c r="B25" t="s" s="756">
        <v>475</v>
      </c>
      <c r="C25" s="757">
        <v>1</v>
      </c>
      <c r="D25" s="757">
        <v>1.35</v>
      </c>
      <c r="E25" s="757">
        <v>1</v>
      </c>
      <c r="F25" s="757">
        <v>0</v>
      </c>
      <c r="G25" s="757">
        <v>0</v>
      </c>
      <c r="H25" s="757">
        <v>3</v>
      </c>
      <c r="I25" s="757">
        <v>6</v>
      </c>
      <c r="J25" s="757">
        <v>6</v>
      </c>
      <c r="K25" s="757">
        <v>3</v>
      </c>
      <c r="L25" s="758">
        <v>1</v>
      </c>
      <c r="M25" s="758">
        <v>0.35</v>
      </c>
      <c r="N25" s="759">
        <f t="shared" si="0"/>
        <v>43451</v>
      </c>
      <c r="O25" s="759">
        <f>'Planner Worksheet'!$G$17+'System Activities'!C213</f>
        <v>43454</v>
      </c>
      <c r="P25" s="760"/>
      <c r="Q25" s="760"/>
      <c r="R25" s="757">
        <v>5</v>
      </c>
      <c r="S25" s="761"/>
      <c r="T25" s="757">
        <v>12</v>
      </c>
      <c r="U25" s="757">
        <v>2.8</v>
      </c>
      <c r="V25" s="757">
        <v>2.8</v>
      </c>
      <c r="W25" s="757">
        <v>2.9</v>
      </c>
      <c r="X25" s="757">
        <v>5.8</v>
      </c>
      <c r="Y25" s="757">
        <v>11</v>
      </c>
      <c r="Z25" s="757">
        <v>11</v>
      </c>
      <c r="AA25" s="757">
        <v>0</v>
      </c>
      <c r="AB25" s="757">
        <v>0</v>
      </c>
      <c r="AC25" s="762">
        <f>U25+W25+Y25+AA25</f>
        <v>16.7</v>
      </c>
      <c r="AD25" s="762">
        <f>V25+X25+Z25+AB25</f>
        <v>19.6</v>
      </c>
      <c r="AE25" s="761"/>
      <c r="AF25" s="761"/>
      <c r="AG25" s="761"/>
    </row>
    <row r="26" ht="12.7" customHeight="1">
      <c r="A26" s="763">
        <v>25</v>
      </c>
      <c r="B26" t="s" s="764">
        <v>476</v>
      </c>
      <c r="C26" s="765">
        <v>1</v>
      </c>
      <c r="D26" s="765">
        <v>0.35</v>
      </c>
      <c r="E26" s="765">
        <v>1</v>
      </c>
      <c r="F26" s="765">
        <v>0</v>
      </c>
      <c r="G26" s="765">
        <v>0</v>
      </c>
      <c r="H26" s="765">
        <v>3</v>
      </c>
      <c r="I26" s="765">
        <v>6</v>
      </c>
      <c r="J26" s="765">
        <v>6</v>
      </c>
      <c r="K26" s="765">
        <v>3</v>
      </c>
      <c r="L26" s="766">
        <v>1</v>
      </c>
      <c r="M26" s="766">
        <v>0.4</v>
      </c>
      <c r="N26" s="767">
        <f t="shared" si="0"/>
        <v>43451</v>
      </c>
      <c r="O26" s="767">
        <f>'Planner Worksheet'!$G$17+'System Activities'!C222</f>
        <v>43454</v>
      </c>
      <c r="P26" s="768"/>
      <c r="Q26" s="768"/>
      <c r="R26" s="765">
        <v>5</v>
      </c>
      <c r="S26" s="769"/>
      <c r="T26" s="765">
        <v>12</v>
      </c>
      <c r="U26" s="765">
        <v>2.8</v>
      </c>
      <c r="V26" s="765">
        <v>2.8</v>
      </c>
      <c r="W26" s="765">
        <v>0</v>
      </c>
      <c r="X26" s="765">
        <v>2.9</v>
      </c>
      <c r="Y26" s="765">
        <v>11</v>
      </c>
      <c r="Z26" s="765">
        <v>11</v>
      </c>
      <c r="AA26" s="765">
        <v>0</v>
      </c>
      <c r="AB26" s="765">
        <v>0</v>
      </c>
      <c r="AC26" s="770">
        <f>U26+W26+Y26+AA26</f>
        <v>13.8</v>
      </c>
      <c r="AD26" s="770">
        <f>V26+X26+Z26+AB26</f>
        <v>16.7</v>
      </c>
      <c r="AE26" s="765">
        <v>11</v>
      </c>
      <c r="AF26" s="769"/>
      <c r="AG26" s="769"/>
    </row>
    <row r="27" ht="12.7" customHeight="1">
      <c r="A27" s="779">
        <v>26</v>
      </c>
      <c r="B27" t="s" s="787">
        <v>155</v>
      </c>
      <c r="C27" s="781">
        <v>1</v>
      </c>
      <c r="D27" s="781">
        <v>0.35</v>
      </c>
      <c r="E27" s="781">
        <v>0</v>
      </c>
      <c r="F27" s="781">
        <v>14</v>
      </c>
      <c r="G27" s="781">
        <v>36</v>
      </c>
      <c r="H27" s="781">
        <v>4</v>
      </c>
      <c r="I27" s="781">
        <v>8</v>
      </c>
      <c r="J27" s="781">
        <v>8</v>
      </c>
      <c r="K27" s="781">
        <v>2</v>
      </c>
      <c r="L27" s="782">
        <v>1</v>
      </c>
      <c r="M27" s="782">
        <v>0.35</v>
      </c>
      <c r="N27" s="783">
        <f t="shared" si="0"/>
        <v>43451</v>
      </c>
      <c r="O27" s="783">
        <f>'Planner Worksheet'!$G$17+'System Activities'!C233</f>
        <v>43454</v>
      </c>
      <c r="P27" s="788">
        <f>'Planner Worksheet'!$G$17+'System Activities'!C227</f>
        <v>43419</v>
      </c>
      <c r="Q27" s="788">
        <f>'Planner Worksheet'!$G$17+'System Activities'!C228</f>
        <v>43432</v>
      </c>
      <c r="R27" s="781">
        <v>4</v>
      </c>
      <c r="S27" s="785"/>
      <c r="T27" s="781">
        <v>12</v>
      </c>
      <c r="U27" s="781">
        <v>2.8</v>
      </c>
      <c r="V27" s="781">
        <v>2.8</v>
      </c>
      <c r="W27" s="781">
        <v>0</v>
      </c>
      <c r="X27" s="781">
        <v>2.9</v>
      </c>
      <c r="Y27" s="781">
        <v>0</v>
      </c>
      <c r="Z27" s="781">
        <v>0</v>
      </c>
      <c r="AA27" s="781">
        <v>2.8</v>
      </c>
      <c r="AB27" s="781">
        <v>2.8</v>
      </c>
      <c r="AC27" s="786">
        <f>U27+W27+Y27+AA27</f>
        <v>5.6</v>
      </c>
      <c r="AD27" s="786">
        <f>V27+X27+Z27+AB27</f>
        <v>8.5</v>
      </c>
      <c r="AE27" s="781">
        <v>36</v>
      </c>
      <c r="AF27" s="785"/>
      <c r="AG27" s="785"/>
    </row>
    <row r="28" ht="12.7" customHeight="1">
      <c r="A28" s="748">
        <v>27</v>
      </c>
      <c r="B28" t="s" s="749">
        <v>158</v>
      </c>
      <c r="C28" s="750">
        <v>1</v>
      </c>
      <c r="D28" s="750">
        <v>1</v>
      </c>
      <c r="E28" s="750">
        <v>0</v>
      </c>
      <c r="F28" s="750">
        <v>14</v>
      </c>
      <c r="G28" s="750">
        <v>36</v>
      </c>
      <c r="H28" s="750">
        <v>1</v>
      </c>
      <c r="I28" s="750">
        <v>1</v>
      </c>
      <c r="J28" s="750">
        <v>0</v>
      </c>
      <c r="K28" s="750">
        <v>2</v>
      </c>
      <c r="L28" s="751">
        <v>1</v>
      </c>
      <c r="M28" s="751">
        <v>0.35</v>
      </c>
      <c r="N28" s="753"/>
      <c r="O28" s="752"/>
      <c r="P28" s="752">
        <f>'Planner Worksheet'!$G$17+'System Activities'!C236</f>
        <v>43416</v>
      </c>
      <c r="Q28" s="752">
        <f>'Planner Worksheet'!$G$17+'System Activities'!C237</f>
        <v>43429</v>
      </c>
      <c r="R28" s="750">
        <v>2</v>
      </c>
      <c r="S28" s="753"/>
      <c r="T28" s="750">
        <v>4</v>
      </c>
      <c r="U28" s="753"/>
      <c r="V28" s="753"/>
      <c r="W28" s="753"/>
      <c r="X28" s="753"/>
      <c r="Y28" s="753"/>
      <c r="Z28" s="753"/>
      <c r="AA28" s="753"/>
      <c r="AB28" s="753"/>
      <c r="AC28" s="754"/>
      <c r="AD28" s="754"/>
      <c r="AE28" s="750">
        <v>36</v>
      </c>
      <c r="AF28" s="753"/>
      <c r="AG28" s="753"/>
    </row>
    <row r="29" ht="12.7" customHeight="1">
      <c r="A29" s="748">
        <v>28</v>
      </c>
      <c r="B29" t="s" s="789">
        <v>162</v>
      </c>
      <c r="C29" s="750">
        <v>1</v>
      </c>
      <c r="D29" s="750">
        <v>2</v>
      </c>
      <c r="E29" s="750">
        <v>1</v>
      </c>
      <c r="F29" s="750">
        <v>0</v>
      </c>
      <c r="G29" s="750">
        <v>0</v>
      </c>
      <c r="H29" s="750">
        <v>1</v>
      </c>
      <c r="I29" s="750">
        <v>1</v>
      </c>
      <c r="J29" s="750">
        <v>0</v>
      </c>
      <c r="K29" s="750">
        <v>5</v>
      </c>
      <c r="L29" s="751">
        <v>1</v>
      </c>
      <c r="M29" s="751">
        <v>0.4</v>
      </c>
      <c r="N29" s="753"/>
      <c r="O29" s="752"/>
      <c r="P29" s="753"/>
      <c r="Q29" s="753"/>
      <c r="R29" s="750">
        <v>5</v>
      </c>
      <c r="S29" s="753"/>
      <c r="T29" s="750">
        <v>4</v>
      </c>
      <c r="U29" s="753"/>
      <c r="V29" s="753"/>
      <c r="W29" s="753"/>
      <c r="X29" s="753"/>
      <c r="Y29" s="753"/>
      <c r="Z29" s="753"/>
      <c r="AA29" s="753"/>
      <c r="AB29" s="753"/>
      <c r="AC29" s="754"/>
      <c r="AD29" s="754"/>
      <c r="AE29" s="750">
        <v>34</v>
      </c>
      <c r="AF29" s="753"/>
      <c r="AG29" s="753"/>
    </row>
    <row r="30" ht="12.7" customHeight="1">
      <c r="A30" s="748">
        <v>29</v>
      </c>
      <c r="B30" t="s" s="749">
        <v>167</v>
      </c>
      <c r="C30" s="750">
        <v>2</v>
      </c>
      <c r="D30" s="750">
        <v>2</v>
      </c>
      <c r="E30" s="750">
        <v>1</v>
      </c>
      <c r="F30" s="750">
        <v>0</v>
      </c>
      <c r="G30" s="750">
        <v>0</v>
      </c>
      <c r="H30" s="750">
        <v>1</v>
      </c>
      <c r="I30" s="750">
        <v>1</v>
      </c>
      <c r="J30" s="750">
        <v>0</v>
      </c>
      <c r="K30" s="750">
        <v>4</v>
      </c>
      <c r="L30" s="751">
        <v>1</v>
      </c>
      <c r="M30" s="751">
        <v>0.35</v>
      </c>
      <c r="N30" s="752"/>
      <c r="O30" s="752"/>
      <c r="P30" s="753"/>
      <c r="Q30" s="753"/>
      <c r="R30" s="750">
        <v>4</v>
      </c>
      <c r="S30" s="753"/>
      <c r="T30" s="750">
        <v>4</v>
      </c>
      <c r="U30" s="753"/>
      <c r="V30" s="753"/>
      <c r="W30" s="753"/>
      <c r="X30" s="753"/>
      <c r="Y30" s="753"/>
      <c r="Z30" s="753"/>
      <c r="AA30" s="753"/>
      <c r="AB30" s="753"/>
      <c r="AC30" s="754"/>
      <c r="AD30" s="754"/>
      <c r="AE30" s="750">
        <v>9</v>
      </c>
      <c r="AF30" s="753"/>
      <c r="AG30" s="753"/>
    </row>
    <row r="31" ht="12.7" customHeight="1">
      <c r="A31" s="725">
        <v>30</v>
      </c>
      <c r="B31" t="s" s="790">
        <v>172</v>
      </c>
      <c r="C31" s="727">
        <v>1</v>
      </c>
      <c r="D31" s="727">
        <v>0</v>
      </c>
      <c r="E31" s="727">
        <v>1</v>
      </c>
      <c r="F31" s="727">
        <v>0</v>
      </c>
      <c r="G31" s="727">
        <v>0</v>
      </c>
      <c r="H31" s="727">
        <v>6</v>
      </c>
      <c r="I31" s="727">
        <v>12</v>
      </c>
      <c r="J31" s="727">
        <v>12</v>
      </c>
      <c r="K31" s="727">
        <v>4</v>
      </c>
      <c r="L31" s="728">
        <v>0.75</v>
      </c>
      <c r="M31" s="728">
        <v>0.4</v>
      </c>
      <c r="N31" s="729">
        <f t="shared" si="0"/>
        <v>43451</v>
      </c>
      <c r="O31" s="729">
        <f>'Planner Worksheet'!$G$17+'System Activities'!C266</f>
        <v>43457</v>
      </c>
      <c r="P31" s="730"/>
      <c r="Q31" s="730"/>
      <c r="R31" s="727">
        <v>8</v>
      </c>
      <c r="S31" s="730"/>
      <c r="T31" s="730"/>
      <c r="U31" s="730"/>
      <c r="V31" s="730"/>
      <c r="W31" s="730"/>
      <c r="X31" s="730"/>
      <c r="Y31" s="730"/>
      <c r="Z31" s="730"/>
      <c r="AA31" s="730"/>
      <c r="AB31" s="730"/>
      <c r="AC31" s="731"/>
      <c r="AD31" s="731"/>
      <c r="AE31" s="727">
        <v>37</v>
      </c>
      <c r="AF31" s="730"/>
      <c r="AG31" s="730"/>
    </row>
    <row r="32" ht="12.7" customHeight="1">
      <c r="A32" s="791">
        <v>31</v>
      </c>
      <c r="B32" t="s" s="792">
        <v>177</v>
      </c>
      <c r="C32" s="793">
        <v>1</v>
      </c>
      <c r="D32" s="793">
        <v>0.35</v>
      </c>
      <c r="E32" s="793">
        <v>1</v>
      </c>
      <c r="F32" s="793">
        <v>0</v>
      </c>
      <c r="G32" s="793">
        <v>0</v>
      </c>
      <c r="H32" s="793">
        <v>6</v>
      </c>
      <c r="I32" s="793">
        <v>12</v>
      </c>
      <c r="J32" s="793">
        <v>12</v>
      </c>
      <c r="K32" s="793">
        <v>4</v>
      </c>
      <c r="L32" s="794">
        <v>1</v>
      </c>
      <c r="M32" s="794">
        <v>0.4</v>
      </c>
      <c r="N32" s="795">
        <f t="shared" si="0"/>
        <v>43451</v>
      </c>
      <c r="O32" s="795">
        <f>'Planner Worksheet'!$G$17+'System Activities'!C275</f>
        <v>43454</v>
      </c>
      <c r="P32" s="796"/>
      <c r="Q32" s="796"/>
      <c r="R32" s="793">
        <v>8</v>
      </c>
      <c r="S32" s="797"/>
      <c r="T32" s="793">
        <v>4</v>
      </c>
      <c r="U32" s="793">
        <v>2.8</v>
      </c>
      <c r="V32" s="793">
        <v>2.8</v>
      </c>
      <c r="W32" s="793">
        <v>0</v>
      </c>
      <c r="X32" s="793">
        <v>2.9</v>
      </c>
      <c r="Y32" s="793">
        <v>11</v>
      </c>
      <c r="Z32" s="793">
        <v>11</v>
      </c>
      <c r="AA32" s="793">
        <v>0</v>
      </c>
      <c r="AB32" s="793">
        <v>0</v>
      </c>
      <c r="AC32" s="798">
        <f>U32+W32+Y32+AA32</f>
        <v>13.8</v>
      </c>
      <c r="AD32" s="798">
        <f>V32+X32+Z32+AB32</f>
        <v>16.7</v>
      </c>
      <c r="AE32" s="793">
        <v>34</v>
      </c>
      <c r="AF32" s="797"/>
      <c r="AG32" s="797"/>
    </row>
    <row r="33" ht="12.7" customHeight="1">
      <c r="A33" s="748">
        <v>32</v>
      </c>
      <c r="B33" t="s" s="789">
        <v>477</v>
      </c>
      <c r="C33" s="750">
        <v>1</v>
      </c>
      <c r="D33" s="750">
        <v>1</v>
      </c>
      <c r="E33" s="750">
        <v>1</v>
      </c>
      <c r="F33" s="750">
        <v>0</v>
      </c>
      <c r="G33" s="750">
        <v>0</v>
      </c>
      <c r="H33" s="750">
        <v>1</v>
      </c>
      <c r="I33" s="750">
        <v>1</v>
      </c>
      <c r="J33" s="750">
        <v>0</v>
      </c>
      <c r="K33" s="750">
        <v>4</v>
      </c>
      <c r="L33" s="751">
        <v>1</v>
      </c>
      <c r="M33" s="751">
        <v>0.4</v>
      </c>
      <c r="N33" s="753"/>
      <c r="O33" s="752"/>
      <c r="P33" s="753"/>
      <c r="Q33" s="753"/>
      <c r="R33" s="750">
        <v>4</v>
      </c>
      <c r="S33" s="753"/>
      <c r="T33" s="750">
        <v>4</v>
      </c>
      <c r="U33" s="753"/>
      <c r="V33" s="753"/>
      <c r="W33" s="753"/>
      <c r="X33" s="753"/>
      <c r="Y33" s="753"/>
      <c r="Z33" s="753"/>
      <c r="AA33" s="753"/>
      <c r="AB33" s="753"/>
      <c r="AC33" s="754"/>
      <c r="AD33" s="754"/>
      <c r="AE33" s="750">
        <v>34</v>
      </c>
      <c r="AF33" s="753"/>
      <c r="AG33" s="753"/>
    </row>
    <row r="34" ht="12.7" customHeight="1">
      <c r="A34" s="799">
        <v>33</v>
      </c>
      <c r="B34" t="s" s="800">
        <v>478</v>
      </c>
      <c r="C34" s="801">
        <v>1.7</v>
      </c>
      <c r="D34" s="801">
        <v>0.9</v>
      </c>
      <c r="E34" s="801">
        <v>0.7</v>
      </c>
      <c r="F34" s="801">
        <v>0</v>
      </c>
      <c r="G34" s="801">
        <v>0</v>
      </c>
      <c r="H34" s="801">
        <v>6</v>
      </c>
      <c r="I34" s="801">
        <v>12</v>
      </c>
      <c r="J34" s="801">
        <v>12</v>
      </c>
      <c r="K34" s="801">
        <v>3.4</v>
      </c>
      <c r="L34" s="802">
        <v>1</v>
      </c>
      <c r="M34" s="802">
        <v>0.4</v>
      </c>
      <c r="N34" s="803">
        <f t="shared" si="0"/>
        <v>43451</v>
      </c>
      <c r="O34" s="803">
        <f>'Planner Worksheet'!$G$17+'System Activities'!C293</f>
        <v>43454</v>
      </c>
      <c r="P34" s="804"/>
      <c r="Q34" s="804"/>
      <c r="R34" s="801">
        <v>8</v>
      </c>
      <c r="S34" s="805"/>
      <c r="T34" s="801">
        <v>12</v>
      </c>
      <c r="U34" s="801">
        <v>2.8</v>
      </c>
      <c r="V34" s="801">
        <v>5.6</v>
      </c>
      <c r="W34" s="801">
        <v>0</v>
      </c>
      <c r="X34" s="801">
        <v>5.8</v>
      </c>
      <c r="Y34" s="801">
        <v>0</v>
      </c>
      <c r="Z34" s="801">
        <v>11</v>
      </c>
      <c r="AA34" s="801">
        <v>0</v>
      </c>
      <c r="AB34" s="801">
        <v>0</v>
      </c>
      <c r="AC34" s="806">
        <f>U34+W34+Y34+AA34</f>
        <v>2.8</v>
      </c>
      <c r="AD34" s="806">
        <f>V34+X34+Z34+AB34</f>
        <v>22.4</v>
      </c>
      <c r="AE34" s="801">
        <v>13</v>
      </c>
      <c r="AF34" s="805"/>
      <c r="AG34" s="805"/>
    </row>
    <row r="35" ht="12.7" customHeight="1">
      <c r="A35" s="717">
        <v>34</v>
      </c>
      <c r="B35" t="s" s="807">
        <v>479</v>
      </c>
      <c r="C35" s="719">
        <v>1.7</v>
      </c>
      <c r="D35" s="719">
        <v>0.7</v>
      </c>
      <c r="E35" s="719">
        <v>0.7</v>
      </c>
      <c r="F35" s="719">
        <v>0</v>
      </c>
      <c r="G35" s="719">
        <v>0</v>
      </c>
      <c r="H35" s="719">
        <v>7</v>
      </c>
      <c r="I35" s="719">
        <v>14</v>
      </c>
      <c r="J35" s="719">
        <v>14</v>
      </c>
      <c r="K35" s="719">
        <v>3</v>
      </c>
      <c r="L35" s="720">
        <v>0.6</v>
      </c>
      <c r="M35" s="720">
        <v>0.45</v>
      </c>
      <c r="N35" s="808">
        <f t="shared" si="0"/>
        <v>43451</v>
      </c>
      <c r="O35" s="808">
        <f>'Planner Worksheet'!$G$17+'System Activities'!C302</f>
        <v>43454</v>
      </c>
      <c r="P35" s="722"/>
      <c r="Q35" s="722"/>
      <c r="R35" s="719">
        <v>8</v>
      </c>
      <c r="S35" s="722"/>
      <c r="T35" s="722"/>
      <c r="U35" s="722"/>
      <c r="V35" s="722"/>
      <c r="W35" s="722"/>
      <c r="X35" s="722"/>
      <c r="Y35" s="722"/>
      <c r="Z35" s="722"/>
      <c r="AA35" s="722"/>
      <c r="AB35" s="722"/>
      <c r="AC35" s="723"/>
      <c r="AD35" s="723"/>
      <c r="AE35" s="719">
        <v>13</v>
      </c>
      <c r="AF35" s="722"/>
      <c r="AG35" s="724"/>
    </row>
    <row r="36" ht="12.7" customHeight="1">
      <c r="A36" s="748">
        <v>35</v>
      </c>
      <c r="B36" t="s" s="789">
        <v>480</v>
      </c>
      <c r="C36" s="750">
        <v>2</v>
      </c>
      <c r="D36" s="750">
        <v>2</v>
      </c>
      <c r="E36" s="750">
        <v>1</v>
      </c>
      <c r="F36" s="750">
        <v>0</v>
      </c>
      <c r="G36" s="750">
        <v>0</v>
      </c>
      <c r="H36" s="750">
        <v>1</v>
      </c>
      <c r="I36" s="750">
        <v>1</v>
      </c>
      <c r="J36" s="750">
        <v>0</v>
      </c>
      <c r="K36" s="750">
        <v>4</v>
      </c>
      <c r="L36" s="751">
        <v>1</v>
      </c>
      <c r="M36" s="751">
        <v>0.45</v>
      </c>
      <c r="N36" s="752"/>
      <c r="O36" s="752"/>
      <c r="P36" s="753"/>
      <c r="Q36" s="753"/>
      <c r="R36" s="750">
        <v>4</v>
      </c>
      <c r="S36" s="753"/>
      <c r="T36" s="750">
        <v>6</v>
      </c>
      <c r="U36" s="750">
        <v>5.6</v>
      </c>
      <c r="V36" s="750">
        <v>5.6</v>
      </c>
      <c r="W36" s="750">
        <v>5.8</v>
      </c>
      <c r="X36" s="750">
        <v>5.8</v>
      </c>
      <c r="Y36" s="750">
        <v>11</v>
      </c>
      <c r="Z36" s="750">
        <v>11</v>
      </c>
      <c r="AA36" s="750">
        <v>0</v>
      </c>
      <c r="AB36" s="750">
        <v>0</v>
      </c>
      <c r="AC36" s="754">
        <f>U36+W36+Y36+AA36</f>
        <v>22.4</v>
      </c>
      <c r="AD36" s="754">
        <f>V36+X36+Z36+AB36</f>
        <v>22.4</v>
      </c>
      <c r="AE36" s="750">
        <v>13</v>
      </c>
      <c r="AF36" s="753"/>
      <c r="AG36" s="753"/>
    </row>
    <row r="37" ht="12.7" customHeight="1">
      <c r="A37" s="748">
        <v>36</v>
      </c>
      <c r="B37" t="s" s="789">
        <v>481</v>
      </c>
      <c r="C37" s="750">
        <v>2</v>
      </c>
      <c r="D37" s="750">
        <v>2</v>
      </c>
      <c r="E37" s="750">
        <v>1</v>
      </c>
      <c r="F37" s="750">
        <v>0</v>
      </c>
      <c r="G37" s="750">
        <v>0</v>
      </c>
      <c r="H37" s="750">
        <v>1</v>
      </c>
      <c r="I37" s="750">
        <v>1</v>
      </c>
      <c r="J37" s="750">
        <v>0</v>
      </c>
      <c r="K37" s="750">
        <v>4</v>
      </c>
      <c r="L37" s="751">
        <v>1</v>
      </c>
      <c r="M37" s="751">
        <v>0.45</v>
      </c>
      <c r="N37" s="753"/>
      <c r="O37" s="752"/>
      <c r="P37" s="753"/>
      <c r="Q37" s="753"/>
      <c r="R37" s="750">
        <v>4</v>
      </c>
      <c r="S37" s="753"/>
      <c r="T37" s="750">
        <v>4</v>
      </c>
      <c r="U37" s="750">
        <v>5.6</v>
      </c>
      <c r="V37" s="750">
        <v>5.6</v>
      </c>
      <c r="W37" s="750">
        <v>5.8</v>
      </c>
      <c r="X37" s="750">
        <v>5.8</v>
      </c>
      <c r="Y37" s="750">
        <v>11</v>
      </c>
      <c r="Z37" s="750">
        <v>11</v>
      </c>
      <c r="AA37" s="750">
        <v>0</v>
      </c>
      <c r="AB37" s="750">
        <v>0</v>
      </c>
      <c r="AC37" s="754">
        <f>U37+W37+Y37+AA37</f>
        <v>22.4</v>
      </c>
      <c r="AD37" s="754">
        <f>V37+X37+Z37+AB37</f>
        <v>22.4</v>
      </c>
      <c r="AE37" s="750">
        <v>13</v>
      </c>
      <c r="AF37" s="753"/>
      <c r="AG37" s="753"/>
    </row>
    <row r="38" ht="12.7" customHeight="1">
      <c r="A38" s="748">
        <v>37</v>
      </c>
      <c r="B38" t="s" s="789">
        <v>482</v>
      </c>
      <c r="C38" s="750">
        <v>3</v>
      </c>
      <c r="D38" s="750">
        <v>2</v>
      </c>
      <c r="E38" s="750">
        <v>1</v>
      </c>
      <c r="F38" s="750">
        <v>0</v>
      </c>
      <c r="G38" s="750">
        <v>0</v>
      </c>
      <c r="H38" s="750">
        <v>1</v>
      </c>
      <c r="I38" s="750">
        <v>1</v>
      </c>
      <c r="J38" s="750">
        <v>1</v>
      </c>
      <c r="K38" s="750">
        <v>4</v>
      </c>
      <c r="L38" s="751">
        <v>1</v>
      </c>
      <c r="M38" s="751">
        <v>0.35</v>
      </c>
      <c r="N38" s="753"/>
      <c r="O38" s="752"/>
      <c r="P38" s="753"/>
      <c r="Q38" s="753"/>
      <c r="R38" s="750">
        <v>3</v>
      </c>
      <c r="S38" s="753"/>
      <c r="T38" s="750">
        <v>4</v>
      </c>
      <c r="U38" s="753"/>
      <c r="V38" s="753"/>
      <c r="W38" s="753"/>
      <c r="X38" s="753"/>
      <c r="Y38" s="753"/>
      <c r="Z38" s="753"/>
      <c r="AA38" s="753"/>
      <c r="AB38" s="753"/>
      <c r="AC38" s="754"/>
      <c r="AD38" s="754"/>
      <c r="AE38" s="750">
        <v>8</v>
      </c>
      <c r="AF38" s="753"/>
      <c r="AG38" s="753"/>
    </row>
    <row r="39" ht="12.7" customHeight="1">
      <c r="A39" s="748">
        <v>38</v>
      </c>
      <c r="B39" t="s" s="749">
        <v>483</v>
      </c>
      <c r="C39" s="750">
        <v>2</v>
      </c>
      <c r="D39" s="750">
        <v>2</v>
      </c>
      <c r="E39" s="750">
        <v>1</v>
      </c>
      <c r="F39" s="750">
        <v>0</v>
      </c>
      <c r="G39" s="750">
        <v>0</v>
      </c>
      <c r="H39" s="750">
        <v>1</v>
      </c>
      <c r="I39" s="750">
        <v>1</v>
      </c>
      <c r="J39" s="750">
        <v>0</v>
      </c>
      <c r="K39" s="750">
        <v>4</v>
      </c>
      <c r="L39" s="751">
        <v>1</v>
      </c>
      <c r="M39" s="751">
        <v>0.35</v>
      </c>
      <c r="N39" s="752"/>
      <c r="O39" s="752"/>
      <c r="P39" s="753"/>
      <c r="Q39" s="753"/>
      <c r="R39" s="750">
        <v>4</v>
      </c>
      <c r="S39" s="753"/>
      <c r="T39" s="750">
        <v>4</v>
      </c>
      <c r="U39" s="753"/>
      <c r="V39" s="753"/>
      <c r="W39" s="753"/>
      <c r="X39" s="753"/>
      <c r="Y39" s="753"/>
      <c r="Z39" s="753"/>
      <c r="AA39" s="753"/>
      <c r="AB39" s="753"/>
      <c r="AC39" s="754"/>
      <c r="AD39" s="754"/>
      <c r="AE39" s="750">
        <v>8</v>
      </c>
      <c r="AF39" s="753"/>
      <c r="AG39" s="753"/>
    </row>
    <row r="40" ht="12.7" customHeight="1">
      <c r="A40" s="809">
        <v>1</v>
      </c>
      <c r="B40" s="810">
        <v>2</v>
      </c>
      <c r="C40" s="811">
        <v>3</v>
      </c>
      <c r="D40" s="811">
        <v>4</v>
      </c>
      <c r="E40" s="811">
        <v>5</v>
      </c>
      <c r="F40" s="811">
        <v>6</v>
      </c>
      <c r="G40" s="811">
        <v>7</v>
      </c>
      <c r="H40" s="811">
        <v>8</v>
      </c>
      <c r="I40" s="811">
        <v>9</v>
      </c>
      <c r="J40" s="811">
        <v>10</v>
      </c>
      <c r="K40" s="811">
        <v>11</v>
      </c>
      <c r="L40" s="811">
        <v>12</v>
      </c>
      <c r="M40" s="811">
        <v>13</v>
      </c>
      <c r="N40" s="811">
        <v>14</v>
      </c>
      <c r="O40" s="811">
        <v>15</v>
      </c>
      <c r="P40" s="810">
        <v>16</v>
      </c>
      <c r="Q40" s="810">
        <v>17</v>
      </c>
      <c r="R40" s="811">
        <v>18</v>
      </c>
      <c r="S40" s="812"/>
      <c r="T40" s="812"/>
      <c r="U40" s="812"/>
      <c r="V40" s="812"/>
      <c r="W40" s="812"/>
      <c r="X40" s="812"/>
      <c r="Y40" s="812"/>
      <c r="Z40" s="812"/>
      <c r="AA40" s="812"/>
      <c r="AB40" s="812"/>
      <c r="AC40" s="813"/>
      <c r="AD40" s="813"/>
      <c r="AE40" s="812"/>
      <c r="AF40" s="812"/>
      <c r="AG40" s="812"/>
    </row>
    <row r="41" ht="12.7" customHeight="1">
      <c r="A41" s="814"/>
      <c r="B41" s="815"/>
      <c r="C41" s="816"/>
      <c r="D41" s="816"/>
      <c r="E41" s="816"/>
      <c r="F41" s="816"/>
      <c r="G41" s="816"/>
      <c r="H41" s="816"/>
      <c r="I41" s="816"/>
      <c r="J41" s="816"/>
      <c r="K41" s="816"/>
      <c r="L41" s="816"/>
      <c r="M41" s="816"/>
      <c r="N41" s="816"/>
      <c r="O41" s="816"/>
      <c r="P41" s="815"/>
      <c r="Q41" s="815"/>
      <c r="R41" s="816"/>
      <c r="S41" s="816"/>
      <c r="T41" s="816"/>
      <c r="U41" s="816"/>
      <c r="V41" s="816"/>
      <c r="W41" s="816"/>
      <c r="X41" s="816"/>
      <c r="Y41" s="816"/>
      <c r="Z41" s="816"/>
      <c r="AA41" s="816"/>
      <c r="AB41" s="816"/>
      <c r="AC41" s="817"/>
      <c r="AD41" s="817"/>
      <c r="AE41" s="816"/>
      <c r="AF41" s="816"/>
      <c r="AG41" s="816"/>
    </row>
    <row r="42" ht="15" customHeight="1">
      <c r="A42" s="818"/>
      <c r="B42" s="663"/>
      <c r="C42" s="818"/>
      <c r="D42" s="818"/>
      <c r="E42" s="818"/>
      <c r="F42" s="818"/>
      <c r="G42" s="818"/>
      <c r="H42" s="818"/>
      <c r="I42" s="818"/>
      <c r="J42" s="818"/>
      <c r="K42" s="818"/>
      <c r="L42" s="818"/>
      <c r="M42" s="818"/>
      <c r="N42" s="818"/>
      <c r="O42" s="818"/>
      <c r="P42" s="663"/>
      <c r="Q42" s="663"/>
      <c r="R42" s="818"/>
      <c r="S42" s="818"/>
      <c r="T42" s="818"/>
      <c r="U42" s="818"/>
      <c r="V42" s="818"/>
      <c r="W42" s="818"/>
      <c r="X42" s="818"/>
      <c r="Y42" s="818"/>
      <c r="Z42" s="818"/>
      <c r="AA42" s="818"/>
      <c r="AB42" s="818"/>
      <c r="AC42" s="818"/>
      <c r="AD42" s="818"/>
      <c r="AE42" s="818"/>
      <c r="AF42" s="818"/>
      <c r="AG42" s="818"/>
    </row>
    <row r="43" ht="15" customHeight="1">
      <c r="A43" s="818"/>
      <c r="B43" s="663"/>
      <c r="C43" s="818"/>
      <c r="D43" s="818"/>
      <c r="E43" s="818"/>
      <c r="F43" s="818"/>
      <c r="G43" s="818"/>
      <c r="H43" s="818"/>
      <c r="I43" s="818"/>
      <c r="J43" s="818"/>
      <c r="K43" s="818"/>
      <c r="L43" s="818"/>
      <c r="M43" s="818"/>
      <c r="N43" s="818"/>
      <c r="O43" s="818"/>
      <c r="P43" s="663"/>
      <c r="Q43" s="663"/>
      <c r="R43" s="818"/>
      <c r="S43" s="818"/>
      <c r="T43" s="818"/>
      <c r="U43" s="818"/>
      <c r="V43" s="818"/>
      <c r="W43" s="818"/>
      <c r="X43" s="818"/>
      <c r="Y43" s="818"/>
      <c r="Z43" s="818"/>
      <c r="AA43" s="818"/>
      <c r="AB43" s="818"/>
      <c r="AC43" s="818"/>
      <c r="AD43" s="818"/>
      <c r="AE43" s="818"/>
      <c r="AF43" s="818"/>
      <c r="AG43" s="818"/>
    </row>
    <row r="44" ht="15" customHeight="1">
      <c r="A44" s="818"/>
      <c r="B44" s="663"/>
      <c r="C44" s="818"/>
      <c r="D44" s="818"/>
      <c r="E44" s="818"/>
      <c r="F44" s="818"/>
      <c r="G44" s="818"/>
      <c r="H44" s="818"/>
      <c r="I44" s="818"/>
      <c r="J44" s="818"/>
      <c r="K44" s="818"/>
      <c r="L44" s="818"/>
      <c r="M44" s="818"/>
      <c r="N44" s="818"/>
      <c r="O44" s="818"/>
      <c r="P44" s="663"/>
      <c r="Q44" s="663"/>
      <c r="R44" s="818"/>
      <c r="S44" s="818"/>
      <c r="T44" s="818"/>
      <c r="U44" s="818"/>
      <c r="V44" s="818"/>
      <c r="W44" s="818"/>
      <c r="X44" s="818"/>
      <c r="Y44" s="818"/>
      <c r="Z44" s="818"/>
      <c r="AA44" s="818"/>
      <c r="AB44" s="818"/>
      <c r="AC44" s="818"/>
      <c r="AD44" s="818"/>
      <c r="AE44" s="818"/>
      <c r="AF44" s="818"/>
      <c r="AG44" s="818"/>
    </row>
    <row r="45" ht="15" customHeight="1">
      <c r="A45" s="818"/>
      <c r="B45" s="663"/>
      <c r="C45" s="818"/>
      <c r="D45" s="818"/>
      <c r="E45" s="818"/>
      <c r="F45" s="818"/>
      <c r="G45" s="818"/>
      <c r="H45" s="818"/>
      <c r="I45" s="818"/>
      <c r="J45" s="818"/>
      <c r="K45" s="818"/>
      <c r="L45" s="818"/>
      <c r="M45" s="818"/>
      <c r="N45" s="818"/>
      <c r="O45" s="818"/>
      <c r="P45" s="663"/>
      <c r="Q45" s="663"/>
      <c r="R45" s="818"/>
      <c r="S45" s="818"/>
      <c r="T45" s="818"/>
      <c r="U45" s="818"/>
      <c r="V45" s="818"/>
      <c r="W45" s="818"/>
      <c r="X45" s="818"/>
      <c r="Y45" s="818"/>
      <c r="Z45" s="818"/>
      <c r="AA45" s="818"/>
      <c r="AB45" s="818"/>
      <c r="AC45" s="818"/>
      <c r="AD45" s="818"/>
      <c r="AE45" s="818"/>
      <c r="AF45" s="818"/>
      <c r="AG45" s="818"/>
    </row>
    <row r="46" ht="15" customHeight="1">
      <c r="A46" s="818"/>
      <c r="B46" s="663"/>
      <c r="C46" s="818"/>
      <c r="D46" s="818"/>
      <c r="E46" s="818"/>
      <c r="F46" s="818"/>
      <c r="G46" s="818"/>
      <c r="H46" s="818"/>
      <c r="I46" s="818"/>
      <c r="J46" s="818"/>
      <c r="K46" s="818"/>
      <c r="L46" s="818"/>
      <c r="M46" s="818"/>
      <c r="N46" s="818"/>
      <c r="O46" s="818"/>
      <c r="P46" s="663"/>
      <c r="Q46" s="663"/>
      <c r="R46" s="818"/>
      <c r="S46" s="818"/>
      <c r="T46" s="818"/>
      <c r="U46" s="818"/>
      <c r="V46" s="818"/>
      <c r="W46" s="818"/>
      <c r="X46" s="818"/>
      <c r="Y46" s="818"/>
      <c r="Z46" s="818"/>
      <c r="AA46" s="818"/>
      <c r="AB46" s="818"/>
      <c r="AC46" s="818"/>
      <c r="AD46" s="818"/>
      <c r="AE46" s="818"/>
      <c r="AF46" s="818"/>
      <c r="AG46" s="818"/>
    </row>
    <row r="47" ht="15" customHeight="1">
      <c r="A47" s="818"/>
      <c r="B47" s="663"/>
      <c r="C47" s="818"/>
      <c r="D47" s="818"/>
      <c r="E47" s="818"/>
      <c r="F47" s="818"/>
      <c r="G47" s="818"/>
      <c r="H47" s="818"/>
      <c r="I47" s="818"/>
      <c r="J47" s="818"/>
      <c r="K47" s="818"/>
      <c r="L47" s="818"/>
      <c r="M47" s="818"/>
      <c r="N47" s="818"/>
      <c r="O47" s="818"/>
      <c r="P47" s="663"/>
      <c r="Q47" s="663"/>
      <c r="R47" s="818"/>
      <c r="S47" s="818"/>
      <c r="T47" s="818"/>
      <c r="U47" s="818"/>
      <c r="V47" s="818"/>
      <c r="W47" s="818"/>
      <c r="X47" s="818"/>
      <c r="Y47" s="818"/>
      <c r="Z47" s="818"/>
      <c r="AA47" s="818"/>
      <c r="AB47" s="818"/>
      <c r="AC47" s="818"/>
      <c r="AD47" s="818"/>
      <c r="AE47" s="818"/>
      <c r="AF47" s="818"/>
      <c r="AG47" s="818"/>
    </row>
    <row r="48" ht="15" customHeight="1">
      <c r="A48" s="818"/>
      <c r="B48" s="663"/>
      <c r="C48" s="818"/>
      <c r="D48" s="818"/>
      <c r="E48" s="818"/>
      <c r="F48" s="818"/>
      <c r="G48" s="818"/>
      <c r="H48" s="818"/>
      <c r="I48" s="818"/>
      <c r="J48" s="818"/>
      <c r="K48" s="818"/>
      <c r="L48" s="818"/>
      <c r="M48" s="818"/>
      <c r="N48" s="818"/>
      <c r="O48" s="818"/>
      <c r="P48" s="663"/>
      <c r="Q48" s="663"/>
      <c r="R48" s="818"/>
      <c r="S48" s="818"/>
      <c r="T48" s="818"/>
      <c r="U48" s="818"/>
      <c r="V48" s="818"/>
      <c r="W48" s="818"/>
      <c r="X48" s="818"/>
      <c r="Y48" s="818"/>
      <c r="Z48" s="818"/>
      <c r="AA48" s="818"/>
      <c r="AB48" s="818"/>
      <c r="AC48" s="818"/>
      <c r="AD48" s="818"/>
      <c r="AE48" s="818"/>
      <c r="AF48" s="818"/>
      <c r="AG48" s="818"/>
    </row>
    <row r="49" ht="15" customHeight="1">
      <c r="A49" s="818"/>
      <c r="B49" s="663"/>
      <c r="C49" s="818"/>
      <c r="D49" s="818"/>
      <c r="E49" s="818"/>
      <c r="F49" s="818"/>
      <c r="G49" s="818"/>
      <c r="H49" s="818"/>
      <c r="I49" s="818"/>
      <c r="J49" s="818"/>
      <c r="K49" s="818"/>
      <c r="L49" s="818"/>
      <c r="M49" s="818"/>
      <c r="N49" s="818"/>
      <c r="O49" s="818"/>
      <c r="P49" s="663"/>
      <c r="Q49" s="663"/>
      <c r="R49" s="818"/>
      <c r="S49" s="818"/>
      <c r="T49" s="818"/>
      <c r="U49" s="818"/>
      <c r="V49" s="818"/>
      <c r="W49" s="818"/>
      <c r="X49" s="818"/>
      <c r="Y49" s="818"/>
      <c r="Z49" s="818"/>
      <c r="AA49" s="818"/>
      <c r="AB49" s="818"/>
      <c r="AC49" s="818"/>
      <c r="AD49" s="818"/>
      <c r="AE49" s="818"/>
      <c r="AF49" s="818"/>
      <c r="AG49" s="818"/>
    </row>
    <row r="50" ht="15" customHeight="1">
      <c r="A50" s="818"/>
      <c r="B50" s="663"/>
      <c r="C50" s="818"/>
      <c r="D50" s="818"/>
      <c r="E50" s="818"/>
      <c r="F50" s="818"/>
      <c r="G50" s="818"/>
      <c r="H50" s="818"/>
      <c r="I50" s="818"/>
      <c r="J50" s="818"/>
      <c r="K50" s="818"/>
      <c r="L50" s="818"/>
      <c r="M50" s="818"/>
      <c r="N50" s="818"/>
      <c r="O50" s="818"/>
      <c r="P50" s="663"/>
      <c r="Q50" s="663"/>
      <c r="R50" s="818"/>
      <c r="S50" s="818"/>
      <c r="T50" s="818"/>
      <c r="U50" s="818"/>
      <c r="V50" s="818"/>
      <c r="W50" s="818"/>
      <c r="X50" s="818"/>
      <c r="Y50" s="818"/>
      <c r="Z50" s="818"/>
      <c r="AA50" s="818"/>
      <c r="AB50" s="818"/>
      <c r="AC50" s="818"/>
      <c r="AD50" s="818"/>
      <c r="AE50" s="818"/>
      <c r="AF50" s="818"/>
      <c r="AG50" s="818"/>
    </row>
    <row r="51" ht="15" customHeight="1">
      <c r="A51" s="818"/>
      <c r="B51" s="663"/>
      <c r="C51" s="818"/>
      <c r="D51" s="818"/>
      <c r="E51" s="818"/>
      <c r="F51" s="818"/>
      <c r="G51" s="818"/>
      <c r="H51" s="818"/>
      <c r="I51" s="818"/>
      <c r="J51" s="818"/>
      <c r="K51" s="818"/>
      <c r="L51" s="818"/>
      <c r="M51" s="818"/>
      <c r="N51" s="818"/>
      <c r="O51" s="818"/>
      <c r="P51" s="663"/>
      <c r="Q51" s="663"/>
      <c r="R51" s="818"/>
      <c r="S51" s="818"/>
      <c r="T51" s="818"/>
      <c r="U51" s="818"/>
      <c r="V51" s="818"/>
      <c r="W51" s="818"/>
      <c r="X51" s="818"/>
      <c r="Y51" s="818"/>
      <c r="Z51" s="818"/>
      <c r="AA51" s="818"/>
      <c r="AB51" s="818"/>
      <c r="AC51" s="818"/>
      <c r="AD51" s="818"/>
      <c r="AE51" s="818"/>
      <c r="AF51" s="818"/>
      <c r="AG51" s="818"/>
    </row>
    <row r="52" ht="15" customHeight="1">
      <c r="A52" s="818"/>
      <c r="B52" s="663"/>
      <c r="C52" s="818"/>
      <c r="D52" s="818"/>
      <c r="E52" s="818"/>
      <c r="F52" s="818"/>
      <c r="G52" s="818"/>
      <c r="H52" s="818"/>
      <c r="I52" s="818"/>
      <c r="J52" s="818"/>
      <c r="K52" s="818"/>
      <c r="L52" s="818"/>
      <c r="M52" s="818"/>
      <c r="N52" s="818"/>
      <c r="O52" s="818"/>
      <c r="P52" s="663"/>
      <c r="Q52" s="663"/>
      <c r="R52" s="818"/>
      <c r="S52" s="818"/>
      <c r="T52" s="818"/>
      <c r="U52" s="818"/>
      <c r="V52" s="818"/>
      <c r="W52" s="818"/>
      <c r="X52" s="818"/>
      <c r="Y52" s="818"/>
      <c r="Z52" s="818"/>
      <c r="AA52" s="818"/>
      <c r="AB52" s="818"/>
      <c r="AC52" s="818"/>
      <c r="AD52" s="818"/>
      <c r="AE52" s="818"/>
      <c r="AF52" s="818"/>
      <c r="AG52" s="818"/>
    </row>
    <row r="53" ht="15" customHeight="1">
      <c r="A53" s="818"/>
      <c r="B53" s="663"/>
      <c r="C53" s="818"/>
      <c r="D53" s="818"/>
      <c r="E53" s="818"/>
      <c r="F53" s="818"/>
      <c r="G53" s="818"/>
      <c r="H53" s="818"/>
      <c r="I53" s="818"/>
      <c r="J53" s="818"/>
      <c r="K53" s="818"/>
      <c r="L53" s="818"/>
      <c r="M53" s="818"/>
      <c r="N53" s="818"/>
      <c r="O53" s="818"/>
      <c r="P53" s="663"/>
      <c r="Q53" s="663"/>
      <c r="R53" s="818"/>
      <c r="S53" s="818"/>
      <c r="T53" s="818"/>
      <c r="U53" s="818"/>
      <c r="V53" s="818"/>
      <c r="W53" s="818"/>
      <c r="X53" s="818"/>
      <c r="Y53" s="818"/>
      <c r="Z53" s="818"/>
      <c r="AA53" s="818"/>
      <c r="AB53" s="818"/>
      <c r="AC53" s="818"/>
      <c r="AD53" s="818"/>
      <c r="AE53" s="818"/>
      <c r="AF53" s="818"/>
      <c r="AG53" s="818"/>
    </row>
    <row r="54" ht="15" customHeight="1">
      <c r="A54" s="818"/>
      <c r="B54" s="663"/>
      <c r="C54" s="818"/>
      <c r="D54" s="818"/>
      <c r="E54" s="818"/>
      <c r="F54" s="818"/>
      <c r="G54" s="818"/>
      <c r="H54" s="818"/>
      <c r="I54" s="818"/>
      <c r="J54" s="818"/>
      <c r="K54" s="818"/>
      <c r="L54" s="818"/>
      <c r="M54" s="818"/>
      <c r="N54" s="818"/>
      <c r="O54" s="818"/>
      <c r="P54" s="663"/>
      <c r="Q54" s="663"/>
      <c r="R54" s="818"/>
      <c r="S54" s="818"/>
      <c r="T54" s="818"/>
      <c r="U54" s="818"/>
      <c r="V54" s="818"/>
      <c r="W54" s="818"/>
      <c r="X54" s="818"/>
      <c r="Y54" s="818"/>
      <c r="Z54" s="818"/>
      <c r="AA54" s="818"/>
      <c r="AB54" s="818"/>
      <c r="AC54" s="818"/>
      <c r="AD54" s="818"/>
      <c r="AE54" s="818"/>
      <c r="AF54" s="818"/>
      <c r="AG54" s="818"/>
    </row>
    <row r="55" ht="15" customHeight="1">
      <c r="A55" s="818"/>
      <c r="B55" s="663"/>
      <c r="C55" s="818"/>
      <c r="D55" s="818"/>
      <c r="E55" s="818"/>
      <c r="F55" s="818"/>
      <c r="G55" s="818"/>
      <c r="H55" s="818"/>
      <c r="I55" s="818"/>
      <c r="J55" s="818"/>
      <c r="K55" s="818"/>
      <c r="L55" s="818"/>
      <c r="M55" s="818"/>
      <c r="N55" s="818"/>
      <c r="O55" s="818"/>
      <c r="P55" s="663"/>
      <c r="Q55" s="663"/>
      <c r="R55" s="818"/>
      <c r="S55" s="818"/>
      <c r="T55" s="818"/>
      <c r="U55" s="818"/>
      <c r="V55" s="818"/>
      <c r="W55" s="818"/>
      <c r="X55" s="818"/>
      <c r="Y55" s="818"/>
      <c r="Z55" s="818"/>
      <c r="AA55" s="818"/>
      <c r="AB55" s="818"/>
      <c r="AC55" s="818"/>
      <c r="AD55" s="818"/>
      <c r="AE55" s="818"/>
      <c r="AF55" s="818"/>
      <c r="AG55" s="818"/>
    </row>
    <row r="56" ht="15" customHeight="1">
      <c r="A56" s="818"/>
      <c r="B56" s="663"/>
      <c r="C56" s="818"/>
      <c r="D56" s="818"/>
      <c r="E56" s="818"/>
      <c r="F56" s="818"/>
      <c r="G56" s="818"/>
      <c r="H56" s="818"/>
      <c r="I56" s="818"/>
      <c r="J56" s="818"/>
      <c r="K56" s="818"/>
      <c r="L56" s="818"/>
      <c r="M56" s="818"/>
      <c r="N56" s="818"/>
      <c r="O56" s="818"/>
      <c r="P56" s="663"/>
      <c r="Q56" s="663"/>
      <c r="R56" s="818"/>
      <c r="S56" s="818"/>
      <c r="T56" s="818"/>
      <c r="U56" s="818"/>
      <c r="V56" s="818"/>
      <c r="W56" s="818"/>
      <c r="X56" s="818"/>
      <c r="Y56" s="818"/>
      <c r="Z56" s="818"/>
      <c r="AA56" s="818"/>
      <c r="AB56" s="818"/>
      <c r="AC56" s="818"/>
      <c r="AD56" s="818"/>
      <c r="AE56" s="818"/>
      <c r="AF56" s="818"/>
      <c r="AG56" s="818"/>
    </row>
    <row r="57" ht="15" customHeight="1">
      <c r="A57" s="818"/>
      <c r="B57" s="663"/>
      <c r="C57" s="818"/>
      <c r="D57" s="818"/>
      <c r="E57" s="818"/>
      <c r="F57" s="818"/>
      <c r="G57" s="818"/>
      <c r="H57" s="818"/>
      <c r="I57" s="818"/>
      <c r="J57" s="818"/>
      <c r="K57" s="818"/>
      <c r="L57" s="818"/>
      <c r="M57" s="818"/>
      <c r="N57" s="818"/>
      <c r="O57" s="818"/>
      <c r="P57" s="663"/>
      <c r="Q57" s="663"/>
      <c r="R57" s="818"/>
      <c r="S57" s="818"/>
      <c r="T57" s="818"/>
      <c r="U57" s="818"/>
      <c r="V57" s="818"/>
      <c r="W57" s="818"/>
      <c r="X57" s="818"/>
      <c r="Y57" s="818"/>
      <c r="Z57" s="818"/>
      <c r="AA57" s="818"/>
      <c r="AB57" s="818"/>
      <c r="AC57" s="818"/>
      <c r="AD57" s="818"/>
      <c r="AE57" s="818"/>
      <c r="AF57" s="818"/>
      <c r="AG57" s="818"/>
    </row>
    <row r="58" ht="15" customHeight="1">
      <c r="A58" s="818"/>
      <c r="B58" s="663"/>
      <c r="C58" s="818"/>
      <c r="D58" s="818"/>
      <c r="E58" s="818"/>
      <c r="F58" s="818"/>
      <c r="G58" s="818"/>
      <c r="H58" s="818"/>
      <c r="I58" s="818"/>
      <c r="J58" s="818"/>
      <c r="K58" s="818"/>
      <c r="L58" s="818"/>
      <c r="M58" s="818"/>
      <c r="N58" s="818"/>
      <c r="O58" s="818"/>
      <c r="P58" s="663"/>
      <c r="Q58" s="663"/>
      <c r="R58" s="818"/>
      <c r="S58" s="818"/>
      <c r="T58" s="818"/>
      <c r="U58" s="818"/>
      <c r="V58" s="818"/>
      <c r="W58" s="818"/>
      <c r="X58" s="818"/>
      <c r="Y58" s="818"/>
      <c r="Z58" s="818"/>
      <c r="AA58" s="818"/>
      <c r="AB58" s="818"/>
      <c r="AC58" s="818"/>
      <c r="AD58" s="818"/>
      <c r="AE58" s="818"/>
      <c r="AF58" s="818"/>
      <c r="AG58" s="818"/>
    </row>
    <row r="59" ht="15" customHeight="1">
      <c r="A59" s="818"/>
      <c r="B59" s="663"/>
      <c r="C59" s="818"/>
      <c r="D59" s="818"/>
      <c r="E59" s="818"/>
      <c r="F59" s="818"/>
      <c r="G59" s="818"/>
      <c r="H59" s="818"/>
      <c r="I59" s="818"/>
      <c r="J59" s="818"/>
      <c r="K59" s="818"/>
      <c r="L59" s="818"/>
      <c r="M59" s="818"/>
      <c r="N59" s="818"/>
      <c r="O59" s="818"/>
      <c r="P59" s="663"/>
      <c r="Q59" s="663"/>
      <c r="R59" s="818"/>
      <c r="S59" s="818"/>
      <c r="T59" s="818"/>
      <c r="U59" s="818"/>
      <c r="V59" s="818"/>
      <c r="W59" s="818"/>
      <c r="X59" s="818"/>
      <c r="Y59" s="818"/>
      <c r="Z59" s="818"/>
      <c r="AA59" s="818"/>
      <c r="AB59" s="818"/>
      <c r="AC59" s="818"/>
      <c r="AD59" s="818"/>
      <c r="AE59" s="818"/>
      <c r="AF59" s="818"/>
      <c r="AG59" s="818"/>
    </row>
    <row r="60" ht="15" customHeight="1">
      <c r="A60" s="818"/>
      <c r="B60" s="663"/>
      <c r="C60" s="818"/>
      <c r="D60" s="818"/>
      <c r="E60" s="818"/>
      <c r="F60" s="818"/>
      <c r="G60" s="818"/>
      <c r="H60" s="818"/>
      <c r="I60" s="818"/>
      <c r="J60" s="818"/>
      <c r="K60" s="818"/>
      <c r="L60" s="818"/>
      <c r="M60" s="818"/>
      <c r="N60" s="818"/>
      <c r="O60" s="818"/>
      <c r="P60" s="663"/>
      <c r="Q60" s="663"/>
      <c r="R60" s="818"/>
      <c r="S60" s="818"/>
      <c r="T60" s="818"/>
      <c r="U60" s="818"/>
      <c r="V60" s="818"/>
      <c r="W60" s="818"/>
      <c r="X60" s="818"/>
      <c r="Y60" s="818"/>
      <c r="Z60" s="818"/>
      <c r="AA60" s="818"/>
      <c r="AB60" s="818"/>
      <c r="AC60" s="818"/>
      <c r="AD60" s="818"/>
      <c r="AE60" s="818"/>
      <c r="AF60" s="818"/>
      <c r="AG60" s="818"/>
    </row>
    <row r="61" ht="15" customHeight="1">
      <c r="A61" s="818"/>
      <c r="B61" s="663"/>
      <c r="C61" s="818"/>
      <c r="D61" s="818"/>
      <c r="E61" s="818"/>
      <c r="F61" s="818"/>
      <c r="G61" s="818"/>
      <c r="H61" s="818"/>
      <c r="I61" s="818"/>
      <c r="J61" s="818"/>
      <c r="K61" s="818"/>
      <c r="L61" s="818"/>
      <c r="M61" s="818"/>
      <c r="N61" s="818"/>
      <c r="O61" s="818"/>
      <c r="P61" s="663"/>
      <c r="Q61" s="663"/>
      <c r="R61" s="818"/>
      <c r="S61" s="818"/>
      <c r="T61" s="818"/>
      <c r="U61" s="818"/>
      <c r="V61" s="818"/>
      <c r="W61" s="818"/>
      <c r="X61" s="818"/>
      <c r="Y61" s="818"/>
      <c r="Z61" s="818"/>
      <c r="AA61" s="818"/>
      <c r="AB61" s="818"/>
      <c r="AC61" s="818"/>
      <c r="AD61" s="818"/>
      <c r="AE61" s="818"/>
      <c r="AF61" s="818"/>
      <c r="AG61" s="818"/>
    </row>
    <row r="62" ht="15" customHeight="1">
      <c r="A62" s="818"/>
      <c r="B62" s="663"/>
      <c r="C62" s="818"/>
      <c r="D62" s="818"/>
      <c r="E62" s="818"/>
      <c r="F62" s="818"/>
      <c r="G62" s="818"/>
      <c r="H62" s="818"/>
      <c r="I62" s="818"/>
      <c r="J62" s="818"/>
      <c r="K62" s="818"/>
      <c r="L62" s="818"/>
      <c r="M62" s="818"/>
      <c r="N62" s="818"/>
      <c r="O62" s="818"/>
      <c r="P62" s="663"/>
      <c r="Q62" s="663"/>
      <c r="R62" s="818"/>
      <c r="S62" s="818"/>
      <c r="T62" s="818"/>
      <c r="U62" s="818"/>
      <c r="V62" s="818"/>
      <c r="W62" s="818"/>
      <c r="X62" s="818"/>
      <c r="Y62" s="818"/>
      <c r="Z62" s="818"/>
      <c r="AA62" s="818"/>
      <c r="AB62" s="818"/>
      <c r="AC62" s="818"/>
      <c r="AD62" s="818"/>
      <c r="AE62" s="818"/>
      <c r="AF62" s="818"/>
      <c r="AG62" s="818"/>
    </row>
    <row r="63" ht="15" customHeight="1">
      <c r="A63" s="818"/>
      <c r="B63" s="663"/>
      <c r="C63" s="818"/>
      <c r="D63" s="818"/>
      <c r="E63" s="818"/>
      <c r="F63" s="818"/>
      <c r="G63" s="818"/>
      <c r="H63" s="818"/>
      <c r="I63" s="818"/>
      <c r="J63" s="818"/>
      <c r="K63" s="818"/>
      <c r="L63" s="818"/>
      <c r="M63" s="818"/>
      <c r="N63" s="818"/>
      <c r="O63" s="818"/>
      <c r="P63" s="663"/>
      <c r="Q63" s="663"/>
      <c r="R63" s="818"/>
      <c r="S63" s="818"/>
      <c r="T63" s="818"/>
      <c r="U63" s="818"/>
      <c r="V63" s="818"/>
      <c r="W63" s="818"/>
      <c r="X63" s="818"/>
      <c r="Y63" s="818"/>
      <c r="Z63" s="818"/>
      <c r="AA63" s="818"/>
      <c r="AB63" s="818"/>
      <c r="AC63" s="818"/>
      <c r="AD63" s="818"/>
      <c r="AE63" s="818"/>
      <c r="AF63" s="818"/>
      <c r="AG63" s="818"/>
    </row>
    <row r="64" ht="15" customHeight="1">
      <c r="A64" s="818"/>
      <c r="B64" s="663"/>
      <c r="C64" s="818"/>
      <c r="D64" s="818"/>
      <c r="E64" s="818"/>
      <c r="F64" s="818"/>
      <c r="G64" s="818"/>
      <c r="H64" s="818"/>
      <c r="I64" s="818"/>
      <c r="J64" s="818"/>
      <c r="K64" s="818"/>
      <c r="L64" s="818"/>
      <c r="M64" s="818"/>
      <c r="N64" s="818"/>
      <c r="O64" s="818"/>
      <c r="P64" s="663"/>
      <c r="Q64" s="663"/>
      <c r="R64" s="818"/>
      <c r="S64" s="818"/>
      <c r="T64" s="818"/>
      <c r="U64" s="818"/>
      <c r="V64" s="818"/>
      <c r="W64" s="818"/>
      <c r="X64" s="818"/>
      <c r="Y64" s="818"/>
      <c r="Z64" s="818"/>
      <c r="AA64" s="818"/>
      <c r="AB64" s="818"/>
      <c r="AC64" s="818"/>
      <c r="AD64" s="818"/>
      <c r="AE64" s="818"/>
      <c r="AF64" s="818"/>
      <c r="AG64" s="818"/>
    </row>
    <row r="65" ht="15" customHeight="1">
      <c r="A65" s="818"/>
      <c r="B65" s="663"/>
      <c r="C65" s="818"/>
      <c r="D65" s="818"/>
      <c r="E65" s="818"/>
      <c r="F65" s="818"/>
      <c r="G65" s="818"/>
      <c r="H65" s="818"/>
      <c r="I65" s="818"/>
      <c r="J65" s="818"/>
      <c r="K65" s="818"/>
      <c r="L65" s="818"/>
      <c r="M65" s="818"/>
      <c r="N65" s="818"/>
      <c r="O65" s="818"/>
      <c r="P65" s="663"/>
      <c r="Q65" s="663"/>
      <c r="R65" s="818"/>
      <c r="S65" s="818"/>
      <c r="T65" s="818"/>
      <c r="U65" s="818"/>
      <c r="V65" s="818"/>
      <c r="W65" s="818"/>
      <c r="X65" s="818"/>
      <c r="Y65" s="818"/>
      <c r="Z65" s="818"/>
      <c r="AA65" s="818"/>
      <c r="AB65" s="818"/>
      <c r="AC65" s="818"/>
      <c r="AD65" s="818"/>
      <c r="AE65" s="818"/>
      <c r="AF65" s="818"/>
      <c r="AG65" s="818"/>
    </row>
    <row r="66" ht="15" customHeight="1">
      <c r="A66" s="818"/>
      <c r="B66" s="663"/>
      <c r="C66" s="818"/>
      <c r="D66" s="818"/>
      <c r="E66" s="818"/>
      <c r="F66" s="818"/>
      <c r="G66" s="818"/>
      <c r="H66" s="818"/>
      <c r="I66" s="818"/>
      <c r="J66" s="818"/>
      <c r="K66" s="818"/>
      <c r="L66" s="818"/>
      <c r="M66" s="818"/>
      <c r="N66" s="818"/>
      <c r="O66" s="818"/>
      <c r="P66" s="663"/>
      <c r="Q66" s="663"/>
      <c r="R66" s="818"/>
      <c r="S66" s="818"/>
      <c r="T66" s="818"/>
      <c r="U66" s="818"/>
      <c r="V66" s="818"/>
      <c r="W66" s="818"/>
      <c r="X66" s="818"/>
      <c r="Y66" s="818"/>
      <c r="Z66" s="818"/>
      <c r="AA66" s="818"/>
      <c r="AB66" s="818"/>
      <c r="AC66" s="818"/>
      <c r="AD66" s="818"/>
      <c r="AE66" s="818"/>
      <c r="AF66" s="818"/>
      <c r="AG66" s="818"/>
    </row>
    <row r="67" ht="15" customHeight="1">
      <c r="A67" s="818"/>
      <c r="B67" s="663"/>
      <c r="C67" s="818"/>
      <c r="D67" s="818"/>
      <c r="E67" s="818"/>
      <c r="F67" s="818"/>
      <c r="G67" s="818"/>
      <c r="H67" s="818"/>
      <c r="I67" s="818"/>
      <c r="J67" s="818"/>
      <c r="K67" s="818"/>
      <c r="L67" s="818"/>
      <c r="M67" s="818"/>
      <c r="N67" s="818"/>
      <c r="O67" s="818"/>
      <c r="P67" s="663"/>
      <c r="Q67" s="663"/>
      <c r="R67" s="818"/>
      <c r="S67" s="818"/>
      <c r="T67" s="818"/>
      <c r="U67" s="818"/>
      <c r="V67" s="818"/>
      <c r="W67" s="818"/>
      <c r="X67" s="818"/>
      <c r="Y67" s="818"/>
      <c r="Z67" s="818"/>
      <c r="AA67" s="818"/>
      <c r="AB67" s="818"/>
      <c r="AC67" s="818"/>
      <c r="AD67" s="818"/>
      <c r="AE67" s="818"/>
      <c r="AF67" s="818"/>
      <c r="AG67" s="818"/>
    </row>
    <row r="68" ht="15" customHeight="1">
      <c r="A68" s="818"/>
      <c r="B68" s="663"/>
      <c r="C68" s="818"/>
      <c r="D68" s="818"/>
      <c r="E68" s="818"/>
      <c r="F68" s="818"/>
      <c r="G68" s="818"/>
      <c r="H68" s="818"/>
      <c r="I68" s="818"/>
      <c r="J68" s="818"/>
      <c r="K68" s="818"/>
      <c r="L68" s="818"/>
      <c r="M68" s="818"/>
      <c r="N68" s="818"/>
      <c r="O68" s="818"/>
      <c r="P68" s="663"/>
      <c r="Q68" s="663"/>
      <c r="R68" s="818"/>
      <c r="S68" s="818"/>
      <c r="T68" s="818"/>
      <c r="U68" s="818"/>
      <c r="V68" s="818"/>
      <c r="W68" s="818"/>
      <c r="X68" s="818"/>
      <c r="Y68" s="818"/>
      <c r="Z68" s="818"/>
      <c r="AA68" s="818"/>
      <c r="AB68" s="818"/>
      <c r="AC68" s="818"/>
      <c r="AD68" s="818"/>
      <c r="AE68" s="818"/>
      <c r="AF68" s="818"/>
      <c r="AG68" s="818"/>
    </row>
    <row r="69" ht="15" customHeight="1">
      <c r="A69" s="818"/>
      <c r="B69" s="663"/>
      <c r="C69" s="818"/>
      <c r="D69" s="818"/>
      <c r="E69" s="818"/>
      <c r="F69" s="818"/>
      <c r="G69" s="818"/>
      <c r="H69" s="818"/>
      <c r="I69" s="818"/>
      <c r="J69" s="818"/>
      <c r="K69" s="818"/>
      <c r="L69" s="818"/>
      <c r="M69" s="818"/>
      <c r="N69" s="818"/>
      <c r="O69" s="818"/>
      <c r="P69" s="663"/>
      <c r="Q69" s="663"/>
      <c r="R69" s="818"/>
      <c r="S69" s="818"/>
      <c r="T69" s="818"/>
      <c r="U69" s="818"/>
      <c r="V69" s="818"/>
      <c r="W69" s="818"/>
      <c r="X69" s="818"/>
      <c r="Y69" s="818"/>
      <c r="Z69" s="818"/>
      <c r="AA69" s="818"/>
      <c r="AB69" s="818"/>
      <c r="AC69" s="818"/>
      <c r="AD69" s="818"/>
      <c r="AE69" s="818"/>
      <c r="AF69" s="818"/>
      <c r="AG69" s="818"/>
    </row>
    <row r="70" ht="15" customHeight="1">
      <c r="A70" s="818"/>
      <c r="B70" s="663"/>
      <c r="C70" s="818"/>
      <c r="D70" s="818"/>
      <c r="E70" s="818"/>
      <c r="F70" s="818"/>
      <c r="G70" s="818"/>
      <c r="H70" s="818"/>
      <c r="I70" s="818"/>
      <c r="J70" s="818"/>
      <c r="K70" s="818"/>
      <c r="L70" s="818"/>
      <c r="M70" s="818"/>
      <c r="N70" s="818"/>
      <c r="O70" s="818"/>
      <c r="P70" s="663"/>
      <c r="Q70" s="663"/>
      <c r="R70" s="818"/>
      <c r="S70" s="818"/>
      <c r="T70" s="818"/>
      <c r="U70" s="818"/>
      <c r="V70" s="818"/>
      <c r="W70" s="818"/>
      <c r="X70" s="818"/>
      <c r="Y70" s="818"/>
      <c r="Z70" s="818"/>
      <c r="AA70" s="818"/>
      <c r="AB70" s="818"/>
      <c r="AC70" s="818"/>
      <c r="AD70" s="818"/>
      <c r="AE70" s="818"/>
      <c r="AF70" s="818"/>
      <c r="AG70" s="818"/>
    </row>
    <row r="71" ht="15" customHeight="1">
      <c r="A71" s="818"/>
      <c r="B71" s="663"/>
      <c r="C71" s="818"/>
      <c r="D71" s="818"/>
      <c r="E71" s="818"/>
      <c r="F71" s="818"/>
      <c r="G71" s="818"/>
      <c r="H71" s="818"/>
      <c r="I71" s="818"/>
      <c r="J71" s="818"/>
      <c r="K71" s="818"/>
      <c r="L71" s="818"/>
      <c r="M71" s="818"/>
      <c r="N71" s="818"/>
      <c r="O71" s="818"/>
      <c r="P71" s="663"/>
      <c r="Q71" s="663"/>
      <c r="R71" s="818"/>
      <c r="S71" s="818"/>
      <c r="T71" s="818"/>
      <c r="U71" s="818"/>
      <c r="V71" s="818"/>
      <c r="W71" s="818"/>
      <c r="X71" s="818"/>
      <c r="Y71" s="818"/>
      <c r="Z71" s="818"/>
      <c r="AA71" s="818"/>
      <c r="AB71" s="818"/>
      <c r="AC71" s="818"/>
      <c r="AD71" s="818"/>
      <c r="AE71" s="818"/>
      <c r="AF71" s="818"/>
      <c r="AG71" s="818"/>
    </row>
    <row r="72" ht="15" customHeight="1">
      <c r="A72" s="818"/>
      <c r="B72" s="663"/>
      <c r="C72" s="818"/>
      <c r="D72" s="818"/>
      <c r="E72" s="818"/>
      <c r="F72" s="818"/>
      <c r="G72" s="818"/>
      <c r="H72" s="818"/>
      <c r="I72" s="818"/>
      <c r="J72" s="818"/>
      <c r="K72" s="818"/>
      <c r="L72" s="818"/>
      <c r="M72" s="818"/>
      <c r="N72" s="818"/>
      <c r="O72" s="818"/>
      <c r="P72" s="663"/>
      <c r="Q72" s="663"/>
      <c r="R72" s="818"/>
      <c r="S72" s="818"/>
      <c r="T72" s="818"/>
      <c r="U72" s="818"/>
      <c r="V72" s="818"/>
      <c r="W72" s="818"/>
      <c r="X72" s="818"/>
      <c r="Y72" s="818"/>
      <c r="Z72" s="818"/>
      <c r="AA72" s="818"/>
      <c r="AB72" s="818"/>
      <c r="AC72" s="818"/>
      <c r="AD72" s="818"/>
      <c r="AE72" s="818"/>
      <c r="AF72" s="818"/>
      <c r="AG72" s="818"/>
    </row>
    <row r="73" ht="15" customHeight="1">
      <c r="A73" s="818"/>
      <c r="B73" s="663"/>
      <c r="C73" s="818"/>
      <c r="D73" s="818"/>
      <c r="E73" s="818"/>
      <c r="F73" s="818"/>
      <c r="G73" s="818"/>
      <c r="H73" s="818"/>
      <c r="I73" s="818"/>
      <c r="J73" s="818"/>
      <c r="K73" s="818"/>
      <c r="L73" s="818"/>
      <c r="M73" s="818"/>
      <c r="N73" s="818"/>
      <c r="O73" s="818"/>
      <c r="P73" s="663"/>
      <c r="Q73" s="663"/>
      <c r="R73" s="818"/>
      <c r="S73" s="818"/>
      <c r="T73" s="818"/>
      <c r="U73" s="818"/>
      <c r="V73" s="818"/>
      <c r="W73" s="818"/>
      <c r="X73" s="818"/>
      <c r="Y73" s="818"/>
      <c r="Z73" s="818"/>
      <c r="AA73" s="818"/>
      <c r="AB73" s="818"/>
      <c r="AC73" s="818"/>
      <c r="AD73" s="818"/>
      <c r="AE73" s="818"/>
      <c r="AF73" s="818"/>
      <c r="AG73" s="818"/>
    </row>
    <row r="74" ht="15" customHeight="1">
      <c r="A74" s="818"/>
      <c r="B74" s="663"/>
      <c r="C74" s="818"/>
      <c r="D74" s="818"/>
      <c r="E74" s="818"/>
      <c r="F74" s="818"/>
      <c r="G74" s="818"/>
      <c r="H74" s="818"/>
      <c r="I74" s="818"/>
      <c r="J74" s="818"/>
      <c r="K74" s="818"/>
      <c r="L74" s="818"/>
      <c r="M74" s="818"/>
      <c r="N74" s="818"/>
      <c r="O74" s="818"/>
      <c r="P74" s="663"/>
      <c r="Q74" s="663"/>
      <c r="R74" s="818"/>
      <c r="S74" s="818"/>
      <c r="T74" s="818"/>
      <c r="U74" s="818"/>
      <c r="V74" s="818"/>
      <c r="W74" s="818"/>
      <c r="X74" s="818"/>
      <c r="Y74" s="818"/>
      <c r="Z74" s="818"/>
      <c r="AA74" s="818"/>
      <c r="AB74" s="818"/>
      <c r="AC74" s="818"/>
      <c r="AD74" s="818"/>
      <c r="AE74" s="818"/>
      <c r="AF74" s="818"/>
      <c r="AG74" s="818"/>
    </row>
    <row r="75" ht="15" customHeight="1">
      <c r="A75" s="818"/>
      <c r="B75" s="663"/>
      <c r="C75" s="818"/>
      <c r="D75" s="818"/>
      <c r="E75" s="818"/>
      <c r="F75" s="818"/>
      <c r="G75" s="818"/>
      <c r="H75" s="818"/>
      <c r="I75" s="818"/>
      <c r="J75" s="818"/>
      <c r="K75" s="818"/>
      <c r="L75" s="818"/>
      <c r="M75" s="818"/>
      <c r="N75" s="818"/>
      <c r="O75" s="818"/>
      <c r="P75" s="663"/>
      <c r="Q75" s="663"/>
      <c r="R75" s="818"/>
      <c r="S75" s="818"/>
      <c r="T75" s="818"/>
      <c r="U75" s="818"/>
      <c r="V75" s="818"/>
      <c r="W75" s="818"/>
      <c r="X75" s="818"/>
      <c r="Y75" s="818"/>
      <c r="Z75" s="818"/>
      <c r="AA75" s="818"/>
      <c r="AB75" s="818"/>
      <c r="AC75" s="818"/>
      <c r="AD75" s="818"/>
      <c r="AE75" s="818"/>
      <c r="AF75" s="818"/>
      <c r="AG75" s="818"/>
    </row>
    <row r="76" ht="15" customHeight="1">
      <c r="A76" s="818"/>
      <c r="B76" s="663"/>
      <c r="C76" s="818"/>
      <c r="D76" s="818"/>
      <c r="E76" s="818"/>
      <c r="F76" s="818"/>
      <c r="G76" s="818"/>
      <c r="H76" s="818"/>
      <c r="I76" s="818"/>
      <c r="J76" s="818"/>
      <c r="K76" s="818"/>
      <c r="L76" s="818"/>
      <c r="M76" s="818"/>
      <c r="N76" s="818"/>
      <c r="O76" s="818"/>
      <c r="P76" s="663"/>
      <c r="Q76" s="663"/>
      <c r="R76" s="818"/>
      <c r="S76" s="818"/>
      <c r="T76" s="818"/>
      <c r="U76" s="818"/>
      <c r="V76" s="818"/>
      <c r="W76" s="818"/>
      <c r="X76" s="818"/>
      <c r="Y76" s="818"/>
      <c r="Z76" s="818"/>
      <c r="AA76" s="818"/>
      <c r="AB76" s="818"/>
      <c r="AC76" s="818"/>
      <c r="AD76" s="818"/>
      <c r="AE76" s="818"/>
      <c r="AF76" s="818"/>
      <c r="AG76" s="818"/>
    </row>
    <row r="77" ht="15" customHeight="1">
      <c r="A77" s="818"/>
      <c r="B77" s="663"/>
      <c r="C77" s="818"/>
      <c r="D77" s="818"/>
      <c r="E77" s="818"/>
      <c r="F77" s="818"/>
      <c r="G77" s="818"/>
      <c r="H77" s="818"/>
      <c r="I77" s="818"/>
      <c r="J77" s="818"/>
      <c r="K77" s="818"/>
      <c r="L77" s="818"/>
      <c r="M77" s="818"/>
      <c r="N77" s="818"/>
      <c r="O77" s="818"/>
      <c r="P77" s="663"/>
      <c r="Q77" s="663"/>
      <c r="R77" s="818"/>
      <c r="S77" s="818"/>
      <c r="T77" s="818"/>
      <c r="U77" s="818"/>
      <c r="V77" s="818"/>
      <c r="W77" s="818"/>
      <c r="X77" s="818"/>
      <c r="Y77" s="818"/>
      <c r="Z77" s="818"/>
      <c r="AA77" s="818"/>
      <c r="AB77" s="818"/>
      <c r="AC77" s="818"/>
      <c r="AD77" s="818"/>
      <c r="AE77" s="818"/>
      <c r="AF77" s="818"/>
      <c r="AG77" s="818"/>
    </row>
    <row r="78" ht="15" customHeight="1">
      <c r="A78" s="818"/>
      <c r="B78" s="663"/>
      <c r="C78" s="818"/>
      <c r="D78" s="818"/>
      <c r="E78" s="818"/>
      <c r="F78" s="818"/>
      <c r="G78" s="818"/>
      <c r="H78" s="818"/>
      <c r="I78" s="818"/>
      <c r="J78" s="818"/>
      <c r="K78" s="818"/>
      <c r="L78" s="818"/>
      <c r="M78" s="818"/>
      <c r="N78" s="818"/>
      <c r="O78" s="818"/>
      <c r="P78" s="663"/>
      <c r="Q78" s="663"/>
      <c r="R78" s="818"/>
      <c r="S78" s="818"/>
      <c r="T78" s="818"/>
      <c r="U78" s="818"/>
      <c r="V78" s="818"/>
      <c r="W78" s="818"/>
      <c r="X78" s="818"/>
      <c r="Y78" s="818"/>
      <c r="Z78" s="818"/>
      <c r="AA78" s="818"/>
      <c r="AB78" s="818"/>
      <c r="AC78" s="818"/>
      <c r="AD78" s="818"/>
      <c r="AE78" s="818"/>
      <c r="AF78" s="818"/>
      <c r="AG78" s="818"/>
    </row>
    <row r="79" ht="15" customHeight="1">
      <c r="A79" s="818"/>
      <c r="B79" s="663"/>
      <c r="C79" s="818"/>
      <c r="D79" s="818"/>
      <c r="E79" s="818"/>
      <c r="F79" s="818"/>
      <c r="G79" s="818"/>
      <c r="H79" s="818"/>
      <c r="I79" s="818"/>
      <c r="J79" s="818"/>
      <c r="K79" s="818"/>
      <c r="L79" s="818"/>
      <c r="M79" s="818"/>
      <c r="N79" s="818"/>
      <c r="O79" s="818"/>
      <c r="P79" s="663"/>
      <c r="Q79" s="663"/>
      <c r="R79" s="818"/>
      <c r="S79" s="818"/>
      <c r="T79" s="818"/>
      <c r="U79" s="818"/>
      <c r="V79" s="818"/>
      <c r="W79" s="818"/>
      <c r="X79" s="818"/>
      <c r="Y79" s="818"/>
      <c r="Z79" s="818"/>
      <c r="AA79" s="818"/>
      <c r="AB79" s="818"/>
      <c r="AC79" s="818"/>
      <c r="AD79" s="818"/>
      <c r="AE79" s="818"/>
      <c r="AF79" s="818"/>
      <c r="AG79" s="818"/>
    </row>
    <row r="80" ht="15" customHeight="1">
      <c r="A80" s="818"/>
      <c r="B80" s="663"/>
      <c r="C80" s="818"/>
      <c r="D80" s="818"/>
      <c r="E80" s="818"/>
      <c r="F80" s="818"/>
      <c r="G80" s="818"/>
      <c r="H80" s="818"/>
      <c r="I80" s="818"/>
      <c r="J80" s="818"/>
      <c r="K80" s="818"/>
      <c r="L80" s="818"/>
      <c r="M80" s="818"/>
      <c r="N80" s="818"/>
      <c r="O80" s="818"/>
      <c r="P80" s="663"/>
      <c r="Q80" s="663"/>
      <c r="R80" s="818"/>
      <c r="S80" s="818"/>
      <c r="T80" s="818"/>
      <c r="U80" s="818"/>
      <c r="V80" s="818"/>
      <c r="W80" s="818"/>
      <c r="X80" s="818"/>
      <c r="Y80" s="818"/>
      <c r="Z80" s="818"/>
      <c r="AA80" s="818"/>
      <c r="AB80" s="818"/>
      <c r="AC80" s="818"/>
      <c r="AD80" s="818"/>
      <c r="AE80" s="818"/>
      <c r="AF80" s="818"/>
      <c r="AG80" s="818"/>
    </row>
    <row r="81" ht="15" customHeight="1">
      <c r="A81" s="818"/>
      <c r="B81" s="663"/>
      <c r="C81" s="818"/>
      <c r="D81" s="818"/>
      <c r="E81" s="818"/>
      <c r="F81" s="818"/>
      <c r="G81" s="818"/>
      <c r="H81" s="818"/>
      <c r="I81" s="818"/>
      <c r="J81" s="818"/>
      <c r="K81" s="818"/>
      <c r="L81" s="818"/>
      <c r="M81" s="818"/>
      <c r="N81" s="818"/>
      <c r="O81" s="818"/>
      <c r="P81" s="663"/>
      <c r="Q81" s="663"/>
      <c r="R81" s="818"/>
      <c r="S81" s="818"/>
      <c r="T81" s="818"/>
      <c r="U81" s="818"/>
      <c r="V81" s="818"/>
      <c r="W81" s="818"/>
      <c r="X81" s="818"/>
      <c r="Y81" s="818"/>
      <c r="Z81" s="818"/>
      <c r="AA81" s="818"/>
      <c r="AB81" s="818"/>
      <c r="AC81" s="818"/>
      <c r="AD81" s="818"/>
      <c r="AE81" s="818"/>
      <c r="AF81" s="818"/>
      <c r="AG81" s="818"/>
    </row>
    <row r="82" ht="15" customHeight="1">
      <c r="A82" s="818"/>
      <c r="B82" s="663"/>
      <c r="C82" s="818"/>
      <c r="D82" s="818"/>
      <c r="E82" s="818"/>
      <c r="F82" s="818"/>
      <c r="G82" s="818"/>
      <c r="H82" s="818"/>
      <c r="I82" s="818"/>
      <c r="J82" s="818"/>
      <c r="K82" s="818"/>
      <c r="L82" s="818"/>
      <c r="M82" s="818"/>
      <c r="N82" s="818"/>
      <c r="O82" s="818"/>
      <c r="P82" s="663"/>
      <c r="Q82" s="663"/>
      <c r="R82" s="818"/>
      <c r="S82" s="818"/>
      <c r="T82" s="818"/>
      <c r="U82" s="818"/>
      <c r="V82" s="818"/>
      <c r="W82" s="818"/>
      <c r="X82" s="818"/>
      <c r="Y82" s="818"/>
      <c r="Z82" s="818"/>
      <c r="AA82" s="818"/>
      <c r="AB82" s="818"/>
      <c r="AC82" s="818"/>
      <c r="AD82" s="818"/>
      <c r="AE82" s="818"/>
      <c r="AF82" s="818"/>
      <c r="AG82" s="818"/>
    </row>
    <row r="83" ht="15" customHeight="1">
      <c r="A83" s="818"/>
      <c r="B83" s="663"/>
      <c r="C83" s="818"/>
      <c r="D83" s="818"/>
      <c r="E83" s="818"/>
      <c r="F83" s="818"/>
      <c r="G83" s="818"/>
      <c r="H83" s="818"/>
      <c r="I83" s="818"/>
      <c r="J83" s="818"/>
      <c r="K83" s="818"/>
      <c r="L83" s="818"/>
      <c r="M83" s="818"/>
      <c r="N83" s="818"/>
      <c r="O83" s="818"/>
      <c r="P83" s="663"/>
      <c r="Q83" s="663"/>
      <c r="R83" s="818"/>
      <c r="S83" s="818"/>
      <c r="T83" s="818"/>
      <c r="U83" s="818"/>
      <c r="V83" s="818"/>
      <c r="W83" s="818"/>
      <c r="X83" s="818"/>
      <c r="Y83" s="818"/>
      <c r="Z83" s="818"/>
      <c r="AA83" s="818"/>
      <c r="AB83" s="818"/>
      <c r="AC83" s="818"/>
      <c r="AD83" s="818"/>
      <c r="AE83" s="818"/>
      <c r="AF83" s="818"/>
      <c r="AG83" s="818"/>
    </row>
    <row r="84" ht="15" customHeight="1">
      <c r="A84" s="818"/>
      <c r="B84" s="663"/>
      <c r="C84" s="818"/>
      <c r="D84" s="818"/>
      <c r="E84" s="818"/>
      <c r="F84" s="818"/>
      <c r="G84" s="818"/>
      <c r="H84" s="818"/>
      <c r="I84" s="818"/>
      <c r="J84" s="818"/>
      <c r="K84" s="818"/>
      <c r="L84" s="818"/>
      <c r="M84" s="818"/>
      <c r="N84" s="818"/>
      <c r="O84" s="818"/>
      <c r="P84" s="663"/>
      <c r="Q84" s="663"/>
      <c r="R84" s="818"/>
      <c r="S84" s="818"/>
      <c r="T84" s="818"/>
      <c r="U84" s="818"/>
      <c r="V84" s="818"/>
      <c r="W84" s="818"/>
      <c r="X84" s="818"/>
      <c r="Y84" s="818"/>
      <c r="Z84" s="818"/>
      <c r="AA84" s="818"/>
      <c r="AB84" s="818"/>
      <c r="AC84" s="818"/>
      <c r="AD84" s="818"/>
      <c r="AE84" s="818"/>
      <c r="AF84" s="818"/>
      <c r="AG84" s="818"/>
    </row>
    <row r="85" ht="15" customHeight="1">
      <c r="A85" s="818"/>
      <c r="B85" s="663"/>
      <c r="C85" s="818"/>
      <c r="D85" s="818"/>
      <c r="E85" s="818"/>
      <c r="F85" s="818"/>
      <c r="G85" s="818"/>
      <c r="H85" s="818"/>
      <c r="I85" s="818"/>
      <c r="J85" s="818"/>
      <c r="K85" s="818"/>
      <c r="L85" s="818"/>
      <c r="M85" s="818"/>
      <c r="N85" s="818"/>
      <c r="O85" s="818"/>
      <c r="P85" s="663"/>
      <c r="Q85" s="663"/>
      <c r="R85" s="818"/>
      <c r="S85" s="818"/>
      <c r="T85" s="818"/>
      <c r="U85" s="818"/>
      <c r="V85" s="818"/>
      <c r="W85" s="818"/>
      <c r="X85" s="818"/>
      <c r="Y85" s="818"/>
      <c r="Z85" s="818"/>
      <c r="AA85" s="818"/>
      <c r="AB85" s="818"/>
      <c r="AC85" s="818"/>
      <c r="AD85" s="818"/>
      <c r="AE85" s="818"/>
      <c r="AF85" s="818"/>
      <c r="AG85" s="818"/>
    </row>
    <row r="86" ht="15" customHeight="1">
      <c r="A86" s="818"/>
      <c r="B86" s="663"/>
      <c r="C86" s="818"/>
      <c r="D86" s="818"/>
      <c r="E86" s="818"/>
      <c r="F86" s="818"/>
      <c r="G86" s="818"/>
      <c r="H86" s="818"/>
      <c r="I86" s="818"/>
      <c r="J86" s="818"/>
      <c r="K86" s="818"/>
      <c r="L86" s="818"/>
      <c r="M86" s="818"/>
      <c r="N86" s="818"/>
      <c r="O86" s="818"/>
      <c r="P86" s="663"/>
      <c r="Q86" s="663"/>
      <c r="R86" s="818"/>
      <c r="S86" s="818"/>
      <c r="T86" s="818"/>
      <c r="U86" s="818"/>
      <c r="V86" s="818"/>
      <c r="W86" s="818"/>
      <c r="X86" s="818"/>
      <c r="Y86" s="818"/>
      <c r="Z86" s="818"/>
      <c r="AA86" s="818"/>
      <c r="AB86" s="818"/>
      <c r="AC86" s="818"/>
      <c r="AD86" s="818"/>
      <c r="AE86" s="818"/>
      <c r="AF86" s="818"/>
      <c r="AG86" s="818"/>
    </row>
    <row r="87" ht="15" customHeight="1">
      <c r="A87" s="818"/>
      <c r="B87" s="663"/>
      <c r="C87" s="818"/>
      <c r="D87" s="818"/>
      <c r="E87" s="818"/>
      <c r="F87" s="818"/>
      <c r="G87" s="818"/>
      <c r="H87" s="818"/>
      <c r="I87" s="818"/>
      <c r="J87" s="818"/>
      <c r="K87" s="818"/>
      <c r="L87" s="818"/>
      <c r="M87" s="818"/>
      <c r="N87" s="818"/>
      <c r="O87" s="818"/>
      <c r="P87" s="663"/>
      <c r="Q87" s="663"/>
      <c r="R87" s="818"/>
      <c r="S87" s="818"/>
      <c r="T87" s="818"/>
      <c r="U87" s="818"/>
      <c r="V87" s="818"/>
      <c r="W87" s="818"/>
      <c r="X87" s="818"/>
      <c r="Y87" s="818"/>
      <c r="Z87" s="818"/>
      <c r="AA87" s="818"/>
      <c r="AB87" s="818"/>
      <c r="AC87" s="818"/>
      <c r="AD87" s="818"/>
      <c r="AE87" s="818"/>
      <c r="AF87" s="818"/>
      <c r="AG87" s="818"/>
    </row>
    <row r="88" ht="15" customHeight="1">
      <c r="A88" s="818"/>
      <c r="B88" s="663"/>
      <c r="C88" s="818"/>
      <c r="D88" s="818"/>
      <c r="E88" s="818"/>
      <c r="F88" s="818"/>
      <c r="G88" s="818"/>
      <c r="H88" s="818"/>
      <c r="I88" s="818"/>
      <c r="J88" s="818"/>
      <c r="K88" s="818"/>
      <c r="L88" s="818"/>
      <c r="M88" s="818"/>
      <c r="N88" s="818"/>
      <c r="O88" s="818"/>
      <c r="P88" s="663"/>
      <c r="Q88" s="663"/>
      <c r="R88" s="818"/>
      <c r="S88" s="818"/>
      <c r="T88" s="818"/>
      <c r="U88" s="818"/>
      <c r="V88" s="818"/>
      <c r="W88" s="818"/>
      <c r="X88" s="818"/>
      <c r="Y88" s="818"/>
      <c r="Z88" s="818"/>
      <c r="AA88" s="818"/>
      <c r="AB88" s="818"/>
      <c r="AC88" s="818"/>
      <c r="AD88" s="818"/>
      <c r="AE88" s="818"/>
      <c r="AF88" s="818"/>
      <c r="AG88" s="818"/>
    </row>
    <row r="89" ht="15" customHeight="1">
      <c r="A89" s="818"/>
      <c r="B89" s="663"/>
      <c r="C89" s="818"/>
      <c r="D89" s="818"/>
      <c r="E89" s="818"/>
      <c r="F89" s="818"/>
      <c r="G89" s="818"/>
      <c r="H89" s="818"/>
      <c r="I89" s="818"/>
      <c r="J89" s="818"/>
      <c r="K89" s="818"/>
      <c r="L89" s="818"/>
      <c r="M89" s="818"/>
      <c r="N89" s="818"/>
      <c r="O89" s="818"/>
      <c r="P89" s="663"/>
      <c r="Q89" s="663"/>
      <c r="R89" s="818"/>
      <c r="S89" s="818"/>
      <c r="T89" s="818"/>
      <c r="U89" s="818"/>
      <c r="V89" s="818"/>
      <c r="W89" s="818"/>
      <c r="X89" s="818"/>
      <c r="Y89" s="818"/>
      <c r="Z89" s="818"/>
      <c r="AA89" s="818"/>
      <c r="AB89" s="818"/>
      <c r="AC89" s="818"/>
      <c r="AD89" s="818"/>
      <c r="AE89" s="818"/>
      <c r="AF89" s="818"/>
      <c r="AG89" s="818"/>
    </row>
    <row r="90" ht="15" customHeight="1">
      <c r="A90" s="818"/>
      <c r="B90" s="663"/>
      <c r="C90" s="818"/>
      <c r="D90" s="818"/>
      <c r="E90" s="818"/>
      <c r="F90" s="818"/>
      <c r="G90" s="818"/>
      <c r="H90" s="818"/>
      <c r="I90" s="818"/>
      <c r="J90" s="818"/>
      <c r="K90" s="818"/>
      <c r="L90" s="818"/>
      <c r="M90" s="818"/>
      <c r="N90" s="818"/>
      <c r="O90" s="818"/>
      <c r="P90" s="663"/>
      <c r="Q90" s="663"/>
      <c r="R90" s="818"/>
      <c r="S90" s="818"/>
      <c r="T90" s="818"/>
      <c r="U90" s="818"/>
      <c r="V90" s="818"/>
      <c r="W90" s="818"/>
      <c r="X90" s="818"/>
      <c r="Y90" s="818"/>
      <c r="Z90" s="818"/>
      <c r="AA90" s="818"/>
      <c r="AB90" s="818"/>
      <c r="AC90" s="818"/>
      <c r="AD90" s="818"/>
      <c r="AE90" s="818"/>
      <c r="AF90" s="818"/>
      <c r="AG90" s="818"/>
    </row>
    <row r="91" ht="15" customHeight="1">
      <c r="A91" s="818"/>
      <c r="B91" s="663"/>
      <c r="C91" s="818"/>
      <c r="D91" s="818"/>
      <c r="E91" s="818"/>
      <c r="F91" s="818"/>
      <c r="G91" s="818"/>
      <c r="H91" s="818"/>
      <c r="I91" s="818"/>
      <c r="J91" s="818"/>
      <c r="K91" s="818"/>
      <c r="L91" s="818"/>
      <c r="M91" s="818"/>
      <c r="N91" s="818"/>
      <c r="O91" s="818"/>
      <c r="P91" s="663"/>
      <c r="Q91" s="663"/>
      <c r="R91" s="818"/>
      <c r="S91" s="818"/>
      <c r="T91" s="818"/>
      <c r="U91" s="818"/>
      <c r="V91" s="818"/>
      <c r="W91" s="818"/>
      <c r="X91" s="818"/>
      <c r="Y91" s="818"/>
      <c r="Z91" s="818"/>
      <c r="AA91" s="818"/>
      <c r="AB91" s="818"/>
      <c r="AC91" s="818"/>
      <c r="AD91" s="818"/>
      <c r="AE91" s="818"/>
      <c r="AF91" s="818"/>
      <c r="AG91" s="818"/>
    </row>
    <row r="92" ht="15" customHeight="1">
      <c r="A92" s="818"/>
      <c r="B92" s="663"/>
      <c r="C92" s="818"/>
      <c r="D92" s="818"/>
      <c r="E92" s="818"/>
      <c r="F92" s="818"/>
      <c r="G92" s="818"/>
      <c r="H92" s="818"/>
      <c r="I92" s="818"/>
      <c r="J92" s="818"/>
      <c r="K92" s="818"/>
      <c r="L92" s="818"/>
      <c r="M92" s="818"/>
      <c r="N92" s="818"/>
      <c r="O92" s="818"/>
      <c r="P92" s="663"/>
      <c r="Q92" s="663"/>
      <c r="R92" s="818"/>
      <c r="S92" s="818"/>
      <c r="T92" s="818"/>
      <c r="U92" s="818"/>
      <c r="V92" s="818"/>
      <c r="W92" s="818"/>
      <c r="X92" s="818"/>
      <c r="Y92" s="818"/>
      <c r="Z92" s="818"/>
      <c r="AA92" s="818"/>
      <c r="AB92" s="818"/>
      <c r="AC92" s="818"/>
      <c r="AD92" s="818"/>
      <c r="AE92" s="818"/>
      <c r="AF92" s="818"/>
      <c r="AG92" s="818"/>
    </row>
    <row r="93" ht="15" customHeight="1">
      <c r="A93" s="818"/>
      <c r="B93" s="663"/>
      <c r="C93" s="818"/>
      <c r="D93" s="818"/>
      <c r="E93" s="818"/>
      <c r="F93" s="818"/>
      <c r="G93" s="818"/>
      <c r="H93" s="818"/>
      <c r="I93" s="818"/>
      <c r="J93" s="818"/>
      <c r="K93" s="818"/>
      <c r="L93" s="818"/>
      <c r="M93" s="818"/>
      <c r="N93" s="818"/>
      <c r="O93" s="818"/>
      <c r="P93" s="663"/>
      <c r="Q93" s="663"/>
      <c r="R93" s="818"/>
      <c r="S93" s="818"/>
      <c r="T93" s="818"/>
      <c r="U93" s="818"/>
      <c r="V93" s="818"/>
      <c r="W93" s="818"/>
      <c r="X93" s="818"/>
      <c r="Y93" s="818"/>
      <c r="Z93" s="818"/>
      <c r="AA93" s="818"/>
      <c r="AB93" s="818"/>
      <c r="AC93" s="818"/>
      <c r="AD93" s="818"/>
      <c r="AE93" s="818"/>
      <c r="AF93" s="818"/>
      <c r="AG93" s="818"/>
    </row>
    <row r="94" ht="15" customHeight="1">
      <c r="A94" s="818"/>
      <c r="B94" s="663"/>
      <c r="C94" s="818"/>
      <c r="D94" s="818"/>
      <c r="E94" s="818"/>
      <c r="F94" s="818"/>
      <c r="G94" s="818"/>
      <c r="H94" s="818"/>
      <c r="I94" s="818"/>
      <c r="J94" s="818"/>
      <c r="K94" s="818"/>
      <c r="L94" s="818"/>
      <c r="M94" s="818"/>
      <c r="N94" s="818"/>
      <c r="O94" s="818"/>
      <c r="P94" s="663"/>
      <c r="Q94" s="663"/>
      <c r="R94" s="818"/>
      <c r="S94" s="818"/>
      <c r="T94" s="818"/>
      <c r="U94" s="818"/>
      <c r="V94" s="818"/>
      <c r="W94" s="818"/>
      <c r="X94" s="818"/>
      <c r="Y94" s="818"/>
      <c r="Z94" s="818"/>
      <c r="AA94" s="818"/>
      <c r="AB94" s="818"/>
      <c r="AC94" s="818"/>
      <c r="AD94" s="818"/>
      <c r="AE94" s="818"/>
      <c r="AF94" s="818"/>
      <c r="AG94" s="818"/>
    </row>
    <row r="95" ht="15" customHeight="1">
      <c r="A95" s="818"/>
      <c r="B95" s="663"/>
      <c r="C95" s="818"/>
      <c r="D95" s="818"/>
      <c r="E95" s="818"/>
      <c r="F95" s="818"/>
      <c r="G95" s="818"/>
      <c r="H95" s="818"/>
      <c r="I95" s="818"/>
      <c r="J95" s="818"/>
      <c r="K95" s="818"/>
      <c r="L95" s="818"/>
      <c r="M95" s="818"/>
      <c r="N95" s="818"/>
      <c r="O95" s="818"/>
      <c r="P95" s="663"/>
      <c r="Q95" s="663"/>
      <c r="R95" s="818"/>
      <c r="S95" s="818"/>
      <c r="T95" s="818"/>
      <c r="U95" s="818"/>
      <c r="V95" s="818"/>
      <c r="W95" s="818"/>
      <c r="X95" s="818"/>
      <c r="Y95" s="818"/>
      <c r="Z95" s="818"/>
      <c r="AA95" s="818"/>
      <c r="AB95" s="818"/>
      <c r="AC95" s="818"/>
      <c r="AD95" s="818"/>
      <c r="AE95" s="818"/>
      <c r="AF95" s="818"/>
      <c r="AG95" s="818"/>
    </row>
    <row r="96" ht="15" customHeight="1">
      <c r="A96" s="818"/>
      <c r="B96" s="663"/>
      <c r="C96" s="818"/>
      <c r="D96" s="818"/>
      <c r="E96" s="818"/>
      <c r="F96" s="818"/>
      <c r="G96" s="818"/>
      <c r="H96" s="818"/>
      <c r="I96" s="818"/>
      <c r="J96" s="818"/>
      <c r="K96" s="818"/>
      <c r="L96" s="818"/>
      <c r="M96" s="818"/>
      <c r="N96" s="818"/>
      <c r="O96" s="818"/>
      <c r="P96" s="663"/>
      <c r="Q96" s="663"/>
      <c r="R96" s="818"/>
      <c r="S96" s="818"/>
      <c r="T96" s="818"/>
      <c r="U96" s="818"/>
      <c r="V96" s="818"/>
      <c r="W96" s="818"/>
      <c r="X96" s="818"/>
      <c r="Y96" s="818"/>
      <c r="Z96" s="818"/>
      <c r="AA96" s="818"/>
      <c r="AB96" s="818"/>
      <c r="AC96" s="818"/>
      <c r="AD96" s="818"/>
      <c r="AE96" s="818"/>
      <c r="AF96" s="818"/>
      <c r="AG96" s="818"/>
    </row>
    <row r="97" ht="15" customHeight="1">
      <c r="A97" s="818"/>
      <c r="B97" s="663"/>
      <c r="C97" s="818"/>
      <c r="D97" s="818"/>
      <c r="E97" s="818"/>
      <c r="F97" s="818"/>
      <c r="G97" s="818"/>
      <c r="H97" s="818"/>
      <c r="I97" s="818"/>
      <c r="J97" s="818"/>
      <c r="K97" s="818"/>
      <c r="L97" s="818"/>
      <c r="M97" s="818"/>
      <c r="N97" s="818"/>
      <c r="O97" s="818"/>
      <c r="P97" s="663"/>
      <c r="Q97" s="663"/>
      <c r="R97" s="818"/>
      <c r="S97" s="818"/>
      <c r="T97" s="818"/>
      <c r="U97" s="818"/>
      <c r="V97" s="818"/>
      <c r="W97" s="818"/>
      <c r="X97" s="818"/>
      <c r="Y97" s="818"/>
      <c r="Z97" s="818"/>
      <c r="AA97" s="818"/>
      <c r="AB97" s="818"/>
      <c r="AC97" s="818"/>
      <c r="AD97" s="818"/>
      <c r="AE97" s="818"/>
      <c r="AF97" s="818"/>
      <c r="AG97" s="818"/>
    </row>
    <row r="98" ht="15" customHeight="1">
      <c r="A98" s="818"/>
      <c r="B98" s="663"/>
      <c r="C98" s="818"/>
      <c r="D98" s="818"/>
      <c r="E98" s="818"/>
      <c r="F98" s="818"/>
      <c r="G98" s="818"/>
      <c r="H98" s="818"/>
      <c r="I98" s="818"/>
      <c r="J98" s="818"/>
      <c r="K98" s="818"/>
      <c r="L98" s="818"/>
      <c r="M98" s="818"/>
      <c r="N98" s="818"/>
      <c r="O98" s="818"/>
      <c r="P98" s="663"/>
      <c r="Q98" s="663"/>
      <c r="R98" s="818"/>
      <c r="S98" s="818"/>
      <c r="T98" s="818"/>
      <c r="U98" s="818"/>
      <c r="V98" s="818"/>
      <c r="W98" s="818"/>
      <c r="X98" s="818"/>
      <c r="Y98" s="818"/>
      <c r="Z98" s="818"/>
      <c r="AA98" s="818"/>
      <c r="AB98" s="818"/>
      <c r="AC98" s="818"/>
      <c r="AD98" s="818"/>
      <c r="AE98" s="818"/>
      <c r="AF98" s="818"/>
      <c r="AG98" s="818"/>
    </row>
    <row r="99" ht="15" customHeight="1">
      <c r="A99" s="818"/>
      <c r="B99" s="663"/>
      <c r="C99" s="818"/>
      <c r="D99" s="818"/>
      <c r="E99" s="818"/>
      <c r="F99" s="818"/>
      <c r="G99" s="818"/>
      <c r="H99" s="818"/>
      <c r="I99" s="818"/>
      <c r="J99" s="818"/>
      <c r="K99" s="818"/>
      <c r="L99" s="818"/>
      <c r="M99" s="818"/>
      <c r="N99" s="818"/>
      <c r="O99" s="818"/>
      <c r="P99" s="663"/>
      <c r="Q99" s="663"/>
      <c r="R99" s="818"/>
      <c r="S99" s="818"/>
      <c r="T99" s="818"/>
      <c r="U99" s="818"/>
      <c r="V99" s="818"/>
      <c r="W99" s="818"/>
      <c r="X99" s="818"/>
      <c r="Y99" s="818"/>
      <c r="Z99" s="818"/>
      <c r="AA99" s="818"/>
      <c r="AB99" s="818"/>
      <c r="AC99" s="818"/>
      <c r="AD99" s="818"/>
      <c r="AE99" s="818"/>
      <c r="AF99" s="818"/>
      <c r="AG99" s="818"/>
    </row>
    <row r="100" ht="15" customHeight="1">
      <c r="A100" s="818"/>
      <c r="B100" s="663"/>
      <c r="C100" s="818"/>
      <c r="D100" s="818"/>
      <c r="E100" s="818"/>
      <c r="F100" s="818"/>
      <c r="G100" s="818"/>
      <c r="H100" s="818"/>
      <c r="I100" s="818"/>
      <c r="J100" s="818"/>
      <c r="K100" s="818"/>
      <c r="L100" s="818"/>
      <c r="M100" s="818"/>
      <c r="N100" s="818"/>
      <c r="O100" s="818"/>
      <c r="P100" s="663"/>
      <c r="Q100" s="663"/>
      <c r="R100" s="818"/>
      <c r="S100" s="818"/>
      <c r="T100" s="818"/>
      <c r="U100" s="818"/>
      <c r="V100" s="818"/>
      <c r="W100" s="818"/>
      <c r="X100" s="818"/>
      <c r="Y100" s="818"/>
      <c r="Z100" s="818"/>
      <c r="AA100" s="818"/>
      <c r="AB100" s="818"/>
      <c r="AC100" s="818"/>
      <c r="AD100" s="818"/>
      <c r="AE100" s="818"/>
      <c r="AF100" s="818"/>
      <c r="AG100" s="818"/>
    </row>
    <row r="101" ht="15" customHeight="1">
      <c r="A101" s="818"/>
      <c r="B101" s="663"/>
      <c r="C101" s="818"/>
      <c r="D101" s="818"/>
      <c r="E101" s="818"/>
      <c r="F101" s="818"/>
      <c r="G101" s="818"/>
      <c r="H101" s="818"/>
      <c r="I101" s="818"/>
      <c r="J101" s="818"/>
      <c r="K101" s="818"/>
      <c r="L101" s="818"/>
      <c r="M101" s="818"/>
      <c r="N101" s="818"/>
      <c r="O101" s="818"/>
      <c r="P101" s="663"/>
      <c r="Q101" s="663"/>
      <c r="R101" s="818"/>
      <c r="S101" s="818"/>
      <c r="T101" s="818"/>
      <c r="U101" s="818"/>
      <c r="V101" s="818"/>
      <c r="W101" s="818"/>
      <c r="X101" s="818"/>
      <c r="Y101" s="818"/>
      <c r="Z101" s="818"/>
      <c r="AA101" s="818"/>
      <c r="AB101" s="818"/>
      <c r="AC101" s="818"/>
      <c r="AD101" s="818"/>
      <c r="AE101" s="818"/>
      <c r="AF101" s="818"/>
      <c r="AG101" s="818"/>
    </row>
    <row r="102" ht="15" customHeight="1">
      <c r="A102" s="818"/>
      <c r="B102" s="663"/>
      <c r="C102" s="818"/>
      <c r="D102" s="818"/>
      <c r="E102" s="818"/>
      <c r="F102" s="818"/>
      <c r="G102" s="818"/>
      <c r="H102" s="818"/>
      <c r="I102" s="818"/>
      <c r="J102" s="818"/>
      <c r="K102" s="818"/>
      <c r="L102" s="818"/>
      <c r="M102" s="818"/>
      <c r="N102" s="818"/>
      <c r="O102" s="818"/>
      <c r="P102" s="663"/>
      <c r="Q102" s="663"/>
      <c r="R102" s="818"/>
      <c r="S102" s="818"/>
      <c r="T102" s="818"/>
      <c r="U102" s="818"/>
      <c r="V102" s="818"/>
      <c r="W102" s="818"/>
      <c r="X102" s="818"/>
      <c r="Y102" s="818"/>
      <c r="Z102" s="818"/>
      <c r="AA102" s="818"/>
      <c r="AB102" s="818"/>
      <c r="AC102" s="818"/>
      <c r="AD102" s="818"/>
      <c r="AE102" s="818"/>
      <c r="AF102" s="818"/>
      <c r="AG102" s="818"/>
    </row>
    <row r="103" ht="15" customHeight="1">
      <c r="A103" s="818"/>
      <c r="B103" s="663"/>
      <c r="C103" s="818"/>
      <c r="D103" s="818"/>
      <c r="E103" s="818"/>
      <c r="F103" s="818"/>
      <c r="G103" s="818"/>
      <c r="H103" s="818"/>
      <c r="I103" s="818"/>
      <c r="J103" s="818"/>
      <c r="K103" s="818"/>
      <c r="L103" s="818"/>
      <c r="M103" s="818"/>
      <c r="N103" s="818"/>
      <c r="O103" s="818"/>
      <c r="P103" s="663"/>
      <c r="Q103" s="663"/>
      <c r="R103" s="818"/>
      <c r="S103" s="818"/>
      <c r="T103" s="818"/>
      <c r="U103" s="818"/>
      <c r="V103" s="818"/>
      <c r="W103" s="818"/>
      <c r="X103" s="818"/>
      <c r="Y103" s="818"/>
      <c r="Z103" s="818"/>
      <c r="AA103" s="818"/>
      <c r="AB103" s="818"/>
      <c r="AC103" s="818"/>
      <c r="AD103" s="818"/>
      <c r="AE103" s="818"/>
      <c r="AF103" s="818"/>
      <c r="AG103" s="818"/>
    </row>
    <row r="104" ht="15" customHeight="1">
      <c r="A104" s="818"/>
      <c r="B104" s="663"/>
      <c r="C104" s="818"/>
      <c r="D104" s="818"/>
      <c r="E104" s="818"/>
      <c r="F104" s="818"/>
      <c r="G104" s="818"/>
      <c r="H104" s="818"/>
      <c r="I104" s="818"/>
      <c r="J104" s="818"/>
      <c r="K104" s="818"/>
      <c r="L104" s="818"/>
      <c r="M104" s="818"/>
      <c r="N104" s="818"/>
      <c r="O104" s="818"/>
      <c r="P104" s="663"/>
      <c r="Q104" s="663"/>
      <c r="R104" s="818"/>
      <c r="S104" s="818"/>
      <c r="T104" s="818"/>
      <c r="U104" s="818"/>
      <c r="V104" s="818"/>
      <c r="W104" s="818"/>
      <c r="X104" s="818"/>
      <c r="Y104" s="818"/>
      <c r="Z104" s="818"/>
      <c r="AA104" s="818"/>
      <c r="AB104" s="818"/>
      <c r="AC104" s="818"/>
      <c r="AD104" s="818"/>
      <c r="AE104" s="818"/>
      <c r="AF104" s="818"/>
      <c r="AG104" s="818"/>
    </row>
    <row r="105" ht="15" customHeight="1">
      <c r="A105" s="818"/>
      <c r="B105" s="663"/>
      <c r="C105" s="818"/>
      <c r="D105" s="818"/>
      <c r="E105" s="818"/>
      <c r="F105" s="818"/>
      <c r="G105" s="818"/>
      <c r="H105" s="818"/>
      <c r="I105" s="818"/>
      <c r="J105" s="818"/>
      <c r="K105" s="818"/>
      <c r="L105" s="818"/>
      <c r="M105" s="818"/>
      <c r="N105" s="818"/>
      <c r="O105" s="818"/>
      <c r="P105" s="663"/>
      <c r="Q105" s="663"/>
      <c r="R105" s="818"/>
      <c r="S105" s="818"/>
      <c r="T105" s="818"/>
      <c r="U105" s="818"/>
      <c r="V105" s="818"/>
      <c r="W105" s="818"/>
      <c r="X105" s="818"/>
      <c r="Y105" s="818"/>
      <c r="Z105" s="818"/>
      <c r="AA105" s="818"/>
      <c r="AB105" s="818"/>
      <c r="AC105" s="818"/>
      <c r="AD105" s="818"/>
      <c r="AE105" s="818"/>
      <c r="AF105" s="818"/>
      <c r="AG105" s="818"/>
    </row>
    <row r="106" ht="15" customHeight="1">
      <c r="A106" s="818"/>
      <c r="B106" s="663"/>
      <c r="C106" s="818"/>
      <c r="D106" s="818"/>
      <c r="E106" s="818"/>
      <c r="F106" s="818"/>
      <c r="G106" s="818"/>
      <c r="H106" s="818"/>
      <c r="I106" s="818"/>
      <c r="J106" s="818"/>
      <c r="K106" s="818"/>
      <c r="L106" s="818"/>
      <c r="M106" s="818"/>
      <c r="N106" s="818"/>
      <c r="O106" s="818"/>
      <c r="P106" s="663"/>
      <c r="Q106" s="663"/>
      <c r="R106" s="818"/>
      <c r="S106" s="818"/>
      <c r="T106" s="818"/>
      <c r="U106" s="818"/>
      <c r="V106" s="818"/>
      <c r="W106" s="818"/>
      <c r="X106" s="818"/>
      <c r="Y106" s="818"/>
      <c r="Z106" s="818"/>
      <c r="AA106" s="818"/>
      <c r="AB106" s="818"/>
      <c r="AC106" s="818"/>
      <c r="AD106" s="818"/>
      <c r="AE106" s="818"/>
      <c r="AF106" s="818"/>
      <c r="AG106" s="818"/>
    </row>
    <row r="107" ht="15" customHeight="1">
      <c r="A107" s="818"/>
      <c r="B107" s="663"/>
      <c r="C107" s="818"/>
      <c r="D107" s="818"/>
      <c r="E107" s="818"/>
      <c r="F107" s="818"/>
      <c r="G107" s="818"/>
      <c r="H107" s="818"/>
      <c r="I107" s="818"/>
      <c r="J107" s="818"/>
      <c r="K107" s="818"/>
      <c r="L107" s="818"/>
      <c r="M107" s="818"/>
      <c r="N107" s="818"/>
      <c r="O107" s="818"/>
      <c r="P107" s="663"/>
      <c r="Q107" s="663"/>
      <c r="R107" s="818"/>
      <c r="S107" s="818"/>
      <c r="T107" s="818"/>
      <c r="U107" s="818"/>
      <c r="V107" s="818"/>
      <c r="W107" s="818"/>
      <c r="X107" s="818"/>
      <c r="Y107" s="818"/>
      <c r="Z107" s="818"/>
      <c r="AA107" s="818"/>
      <c r="AB107" s="818"/>
      <c r="AC107" s="818"/>
      <c r="AD107" s="818"/>
      <c r="AE107" s="818"/>
      <c r="AF107" s="818"/>
      <c r="AG107" s="818"/>
    </row>
    <row r="108" ht="15" customHeight="1">
      <c r="A108" s="818"/>
      <c r="B108" s="663"/>
      <c r="C108" s="818"/>
      <c r="D108" s="818"/>
      <c r="E108" s="818"/>
      <c r="F108" s="818"/>
      <c r="G108" s="818"/>
      <c r="H108" s="818"/>
      <c r="I108" s="818"/>
      <c r="J108" s="818"/>
      <c r="K108" s="818"/>
      <c r="L108" s="818"/>
      <c r="M108" s="818"/>
      <c r="N108" s="818"/>
      <c r="O108" s="818"/>
      <c r="P108" s="663"/>
      <c r="Q108" s="663"/>
      <c r="R108" s="818"/>
      <c r="S108" s="818"/>
      <c r="T108" s="818"/>
      <c r="U108" s="818"/>
      <c r="V108" s="818"/>
      <c r="W108" s="818"/>
      <c r="X108" s="818"/>
      <c r="Y108" s="818"/>
      <c r="Z108" s="818"/>
      <c r="AA108" s="818"/>
      <c r="AB108" s="818"/>
      <c r="AC108" s="818"/>
      <c r="AD108" s="818"/>
      <c r="AE108" s="818"/>
      <c r="AF108" s="818"/>
      <c r="AG108" s="818"/>
    </row>
    <row r="109" ht="15" customHeight="1">
      <c r="A109" s="818"/>
      <c r="B109" s="663"/>
      <c r="C109" s="818"/>
      <c r="D109" s="818"/>
      <c r="E109" s="818"/>
      <c r="F109" s="818"/>
      <c r="G109" s="818"/>
      <c r="H109" s="818"/>
      <c r="I109" s="818"/>
      <c r="J109" s="818"/>
      <c r="K109" s="818"/>
      <c r="L109" s="818"/>
      <c r="M109" s="818"/>
      <c r="N109" s="818"/>
      <c r="O109" s="818"/>
      <c r="P109" s="663"/>
      <c r="Q109" s="663"/>
      <c r="R109" s="818"/>
      <c r="S109" s="818"/>
      <c r="T109" s="818"/>
      <c r="U109" s="818"/>
      <c r="V109" s="818"/>
      <c r="W109" s="818"/>
      <c r="X109" s="818"/>
      <c r="Y109" s="818"/>
      <c r="Z109" s="818"/>
      <c r="AA109" s="818"/>
      <c r="AB109" s="818"/>
      <c r="AC109" s="818"/>
      <c r="AD109" s="818"/>
      <c r="AE109" s="818"/>
      <c r="AF109" s="818"/>
      <c r="AG109" s="818"/>
    </row>
    <row r="110" ht="15" customHeight="1">
      <c r="A110" s="818"/>
      <c r="B110" s="663"/>
      <c r="C110" s="818"/>
      <c r="D110" s="818"/>
      <c r="E110" s="818"/>
      <c r="F110" s="818"/>
      <c r="G110" s="818"/>
      <c r="H110" s="818"/>
      <c r="I110" s="818"/>
      <c r="J110" s="818"/>
      <c r="K110" s="818"/>
      <c r="L110" s="818"/>
      <c r="M110" s="818"/>
      <c r="N110" s="818"/>
      <c r="O110" s="818"/>
      <c r="P110" s="663"/>
      <c r="Q110" s="663"/>
      <c r="R110" s="818"/>
      <c r="S110" s="818"/>
      <c r="T110" s="818"/>
      <c r="U110" s="818"/>
      <c r="V110" s="818"/>
      <c r="W110" s="818"/>
      <c r="X110" s="818"/>
      <c r="Y110" s="818"/>
      <c r="Z110" s="818"/>
      <c r="AA110" s="818"/>
      <c r="AB110" s="818"/>
      <c r="AC110" s="818"/>
      <c r="AD110" s="818"/>
      <c r="AE110" s="818"/>
      <c r="AF110" s="818"/>
      <c r="AG110" s="818"/>
    </row>
    <row r="111" ht="15" customHeight="1">
      <c r="A111" s="818"/>
      <c r="B111" s="663"/>
      <c r="C111" s="818"/>
      <c r="D111" s="818"/>
      <c r="E111" s="818"/>
      <c r="F111" s="818"/>
      <c r="G111" s="818"/>
      <c r="H111" s="818"/>
      <c r="I111" s="818"/>
      <c r="J111" s="818"/>
      <c r="K111" s="818"/>
      <c r="L111" s="818"/>
      <c r="M111" s="818"/>
      <c r="N111" s="818"/>
      <c r="O111" s="818"/>
      <c r="P111" s="663"/>
      <c r="Q111" s="663"/>
      <c r="R111" s="818"/>
      <c r="S111" s="818"/>
      <c r="T111" s="818"/>
      <c r="U111" s="818"/>
      <c r="V111" s="818"/>
      <c r="W111" s="818"/>
      <c r="X111" s="818"/>
      <c r="Y111" s="818"/>
      <c r="Z111" s="818"/>
      <c r="AA111" s="818"/>
      <c r="AB111" s="818"/>
      <c r="AC111" s="818"/>
      <c r="AD111" s="818"/>
      <c r="AE111" s="818"/>
      <c r="AF111" s="818"/>
      <c r="AG111" s="818"/>
    </row>
    <row r="112" ht="15" customHeight="1">
      <c r="A112" s="818"/>
      <c r="B112" s="663"/>
      <c r="C112" s="818"/>
      <c r="D112" s="818"/>
      <c r="E112" s="818"/>
      <c r="F112" s="818"/>
      <c r="G112" s="818"/>
      <c r="H112" s="818"/>
      <c r="I112" s="818"/>
      <c r="J112" s="818"/>
      <c r="K112" s="818"/>
      <c r="L112" s="818"/>
      <c r="M112" s="818"/>
      <c r="N112" s="818"/>
      <c r="O112" s="818"/>
      <c r="P112" s="663"/>
      <c r="Q112" s="663"/>
      <c r="R112" s="818"/>
      <c r="S112" s="818"/>
      <c r="T112" s="818"/>
      <c r="U112" s="818"/>
      <c r="V112" s="818"/>
      <c r="W112" s="818"/>
      <c r="X112" s="818"/>
      <c r="Y112" s="818"/>
      <c r="Z112" s="818"/>
      <c r="AA112" s="818"/>
      <c r="AB112" s="818"/>
      <c r="AC112" s="818"/>
      <c r="AD112" s="818"/>
      <c r="AE112" s="818"/>
      <c r="AF112" s="818"/>
      <c r="AG112" s="818"/>
    </row>
    <row r="113" ht="15" customHeight="1">
      <c r="A113" s="818"/>
      <c r="B113" s="663"/>
      <c r="C113" s="818"/>
      <c r="D113" s="818"/>
      <c r="E113" s="818"/>
      <c r="F113" s="818"/>
      <c r="G113" s="818"/>
      <c r="H113" s="818"/>
      <c r="I113" s="818"/>
      <c r="J113" s="818"/>
      <c r="K113" s="818"/>
      <c r="L113" s="818"/>
      <c r="M113" s="818"/>
      <c r="N113" s="818"/>
      <c r="O113" s="818"/>
      <c r="P113" s="663"/>
      <c r="Q113" s="663"/>
      <c r="R113" s="818"/>
      <c r="S113" s="818"/>
      <c r="T113" s="818"/>
      <c r="U113" s="818"/>
      <c r="V113" s="818"/>
      <c r="W113" s="818"/>
      <c r="X113" s="818"/>
      <c r="Y113" s="818"/>
      <c r="Z113" s="818"/>
      <c r="AA113" s="818"/>
      <c r="AB113" s="818"/>
      <c r="AC113" s="818"/>
      <c r="AD113" s="818"/>
      <c r="AE113" s="818"/>
      <c r="AF113" s="818"/>
      <c r="AG113" s="818"/>
    </row>
    <row r="114" ht="15" customHeight="1">
      <c r="A114" s="818"/>
      <c r="B114" s="663"/>
      <c r="C114" s="818"/>
      <c r="D114" s="818"/>
      <c r="E114" s="818"/>
      <c r="F114" s="818"/>
      <c r="G114" s="818"/>
      <c r="H114" s="818"/>
      <c r="I114" s="818"/>
      <c r="J114" s="818"/>
      <c r="K114" s="818"/>
      <c r="L114" s="818"/>
      <c r="M114" s="818"/>
      <c r="N114" s="818"/>
      <c r="O114" s="818"/>
      <c r="P114" s="663"/>
      <c r="Q114" s="663"/>
      <c r="R114" s="818"/>
      <c r="S114" s="818"/>
      <c r="T114" s="818"/>
      <c r="U114" s="818"/>
      <c r="V114" s="818"/>
      <c r="W114" s="818"/>
      <c r="X114" s="818"/>
      <c r="Y114" s="818"/>
      <c r="Z114" s="818"/>
      <c r="AA114" s="818"/>
      <c r="AB114" s="818"/>
      <c r="AC114" s="818"/>
      <c r="AD114" s="818"/>
      <c r="AE114" s="818"/>
      <c r="AF114" s="818"/>
      <c r="AG114" s="818"/>
    </row>
    <row r="115" ht="15" customHeight="1">
      <c r="A115" s="818"/>
      <c r="B115" s="663"/>
      <c r="C115" s="818"/>
      <c r="D115" s="818"/>
      <c r="E115" s="818"/>
      <c r="F115" s="818"/>
      <c r="G115" s="818"/>
      <c r="H115" s="818"/>
      <c r="I115" s="818"/>
      <c r="J115" s="818"/>
      <c r="K115" s="818"/>
      <c r="L115" s="818"/>
      <c r="M115" s="818"/>
      <c r="N115" s="818"/>
      <c r="O115" s="818"/>
      <c r="P115" s="663"/>
      <c r="Q115" s="663"/>
      <c r="R115" s="818"/>
      <c r="S115" s="818"/>
      <c r="T115" s="818"/>
      <c r="U115" s="818"/>
      <c r="V115" s="818"/>
      <c r="W115" s="818"/>
      <c r="X115" s="818"/>
      <c r="Y115" s="818"/>
      <c r="Z115" s="818"/>
      <c r="AA115" s="818"/>
      <c r="AB115" s="818"/>
      <c r="AC115" s="818"/>
      <c r="AD115" s="818"/>
      <c r="AE115" s="818"/>
      <c r="AF115" s="818"/>
      <c r="AG115" s="818"/>
    </row>
    <row r="116" ht="15" customHeight="1">
      <c r="A116" s="818"/>
      <c r="B116" s="663"/>
      <c r="C116" s="818"/>
      <c r="D116" s="818"/>
      <c r="E116" s="818"/>
      <c r="F116" s="818"/>
      <c r="G116" s="818"/>
      <c r="H116" s="818"/>
      <c r="I116" s="818"/>
      <c r="J116" s="818"/>
      <c r="K116" s="818"/>
      <c r="L116" s="818"/>
      <c r="M116" s="818"/>
      <c r="N116" s="818"/>
      <c r="O116" s="818"/>
      <c r="P116" s="663"/>
      <c r="Q116" s="663"/>
      <c r="R116" s="818"/>
      <c r="S116" s="818"/>
      <c r="T116" s="818"/>
      <c r="U116" s="818"/>
      <c r="V116" s="818"/>
      <c r="W116" s="818"/>
      <c r="X116" s="818"/>
      <c r="Y116" s="818"/>
      <c r="Z116" s="818"/>
      <c r="AA116" s="818"/>
      <c r="AB116" s="818"/>
      <c r="AC116" s="818"/>
      <c r="AD116" s="818"/>
      <c r="AE116" s="818"/>
      <c r="AF116" s="818"/>
      <c r="AG116" s="818"/>
    </row>
    <row r="117" ht="15" customHeight="1">
      <c r="A117" s="818"/>
      <c r="B117" s="663"/>
      <c r="C117" s="818"/>
      <c r="D117" s="818"/>
      <c r="E117" s="818"/>
      <c r="F117" s="818"/>
      <c r="G117" s="818"/>
      <c r="H117" s="818"/>
      <c r="I117" s="818"/>
      <c r="J117" s="818"/>
      <c r="K117" s="818"/>
      <c r="L117" s="818"/>
      <c r="M117" s="818"/>
      <c r="N117" s="818"/>
      <c r="O117" s="818"/>
      <c r="P117" s="663"/>
      <c r="Q117" s="663"/>
      <c r="R117" s="818"/>
      <c r="S117" s="818"/>
      <c r="T117" s="818"/>
      <c r="U117" s="818"/>
      <c r="V117" s="818"/>
      <c r="W117" s="818"/>
      <c r="X117" s="818"/>
      <c r="Y117" s="818"/>
      <c r="Z117" s="818"/>
      <c r="AA117" s="818"/>
      <c r="AB117" s="818"/>
      <c r="AC117" s="818"/>
      <c r="AD117" s="818"/>
      <c r="AE117" s="818"/>
      <c r="AF117" s="818"/>
      <c r="AG117" s="818"/>
    </row>
    <row r="118" ht="15" customHeight="1">
      <c r="A118" s="818"/>
      <c r="B118" s="663"/>
      <c r="C118" s="818"/>
      <c r="D118" s="818"/>
      <c r="E118" s="818"/>
      <c r="F118" s="818"/>
      <c r="G118" s="818"/>
      <c r="H118" s="818"/>
      <c r="I118" s="818"/>
      <c r="J118" s="818"/>
      <c r="K118" s="818"/>
      <c r="L118" s="818"/>
      <c r="M118" s="818"/>
      <c r="N118" s="818"/>
      <c r="O118" s="818"/>
      <c r="P118" s="663"/>
      <c r="Q118" s="663"/>
      <c r="R118" s="818"/>
      <c r="S118" s="818"/>
      <c r="T118" s="818"/>
      <c r="U118" s="818"/>
      <c r="V118" s="818"/>
      <c r="W118" s="818"/>
      <c r="X118" s="818"/>
      <c r="Y118" s="818"/>
      <c r="Z118" s="818"/>
      <c r="AA118" s="818"/>
      <c r="AB118" s="818"/>
      <c r="AC118" s="818"/>
      <c r="AD118" s="818"/>
      <c r="AE118" s="818"/>
      <c r="AF118" s="818"/>
      <c r="AG118" s="818"/>
    </row>
    <row r="119" ht="15" customHeight="1">
      <c r="A119" s="818"/>
      <c r="B119" s="663"/>
      <c r="C119" s="818"/>
      <c r="D119" s="818"/>
      <c r="E119" s="818"/>
      <c r="F119" s="818"/>
      <c r="G119" s="818"/>
      <c r="H119" s="818"/>
      <c r="I119" s="818"/>
      <c r="J119" s="818"/>
      <c r="K119" s="818"/>
      <c r="L119" s="818"/>
      <c r="M119" s="818"/>
      <c r="N119" s="818"/>
      <c r="O119" s="818"/>
      <c r="P119" s="663"/>
      <c r="Q119" s="663"/>
      <c r="R119" s="818"/>
      <c r="S119" s="818"/>
      <c r="T119" s="818"/>
      <c r="U119" s="818"/>
      <c r="V119" s="818"/>
      <c r="W119" s="818"/>
      <c r="X119" s="818"/>
      <c r="Y119" s="818"/>
      <c r="Z119" s="818"/>
      <c r="AA119" s="818"/>
      <c r="AB119" s="818"/>
      <c r="AC119" s="818"/>
      <c r="AD119" s="818"/>
      <c r="AE119" s="818"/>
      <c r="AF119" s="818"/>
      <c r="AG119" s="818"/>
    </row>
    <row r="120" ht="15" customHeight="1">
      <c r="A120" s="818"/>
      <c r="B120" s="663"/>
      <c r="C120" s="818"/>
      <c r="D120" s="818"/>
      <c r="E120" s="818"/>
      <c r="F120" s="818"/>
      <c r="G120" s="818"/>
      <c r="H120" s="818"/>
      <c r="I120" s="818"/>
      <c r="J120" s="818"/>
      <c r="K120" s="818"/>
      <c r="L120" s="818"/>
      <c r="M120" s="818"/>
      <c r="N120" s="818"/>
      <c r="O120" s="818"/>
      <c r="P120" s="663"/>
      <c r="Q120" s="663"/>
      <c r="R120" s="818"/>
      <c r="S120" s="818"/>
      <c r="T120" s="818"/>
      <c r="U120" s="818"/>
      <c r="V120" s="818"/>
      <c r="W120" s="818"/>
      <c r="X120" s="818"/>
      <c r="Y120" s="818"/>
      <c r="Z120" s="818"/>
      <c r="AA120" s="818"/>
      <c r="AB120" s="818"/>
      <c r="AC120" s="818"/>
      <c r="AD120" s="818"/>
      <c r="AE120" s="818"/>
      <c r="AF120" s="818"/>
      <c r="AG120" s="818"/>
    </row>
    <row r="121" ht="15" customHeight="1">
      <c r="A121" s="818"/>
      <c r="B121" s="663"/>
      <c r="C121" s="818"/>
      <c r="D121" s="818"/>
      <c r="E121" s="818"/>
      <c r="F121" s="818"/>
      <c r="G121" s="818"/>
      <c r="H121" s="818"/>
      <c r="I121" s="818"/>
      <c r="J121" s="818"/>
      <c r="K121" s="818"/>
      <c r="L121" s="818"/>
      <c r="M121" s="818"/>
      <c r="N121" s="818"/>
      <c r="O121" s="818"/>
      <c r="P121" s="663"/>
      <c r="Q121" s="663"/>
      <c r="R121" s="818"/>
      <c r="S121" s="818"/>
      <c r="T121" s="818"/>
      <c r="U121" s="818"/>
      <c r="V121" s="818"/>
      <c r="W121" s="818"/>
      <c r="X121" s="818"/>
      <c r="Y121" s="818"/>
      <c r="Z121" s="818"/>
      <c r="AA121" s="818"/>
      <c r="AB121" s="818"/>
      <c r="AC121" s="818"/>
      <c r="AD121" s="818"/>
      <c r="AE121" s="818"/>
      <c r="AF121" s="818"/>
      <c r="AG121" s="818"/>
    </row>
    <row r="122" ht="15" customHeight="1">
      <c r="A122" s="818"/>
      <c r="B122" s="663"/>
      <c r="C122" s="818"/>
      <c r="D122" s="818"/>
      <c r="E122" s="818"/>
      <c r="F122" s="818"/>
      <c r="G122" s="818"/>
      <c r="H122" s="818"/>
      <c r="I122" s="818"/>
      <c r="J122" s="818"/>
      <c r="K122" s="818"/>
      <c r="L122" s="818"/>
      <c r="M122" s="818"/>
      <c r="N122" s="818"/>
      <c r="O122" s="818"/>
      <c r="P122" s="663"/>
      <c r="Q122" s="663"/>
      <c r="R122" s="818"/>
      <c r="S122" s="818"/>
      <c r="T122" s="818"/>
      <c r="U122" s="818"/>
      <c r="V122" s="818"/>
      <c r="W122" s="818"/>
      <c r="X122" s="818"/>
      <c r="Y122" s="818"/>
      <c r="Z122" s="818"/>
      <c r="AA122" s="818"/>
      <c r="AB122" s="818"/>
      <c r="AC122" s="818"/>
      <c r="AD122" s="818"/>
      <c r="AE122" s="818"/>
      <c r="AF122" s="818"/>
      <c r="AG122" s="818"/>
    </row>
    <row r="123" ht="15" customHeight="1">
      <c r="A123" s="818"/>
      <c r="B123" s="663"/>
      <c r="C123" s="818"/>
      <c r="D123" s="818"/>
      <c r="E123" s="818"/>
      <c r="F123" s="818"/>
      <c r="G123" s="818"/>
      <c r="H123" s="818"/>
      <c r="I123" s="818"/>
      <c r="J123" s="818"/>
      <c r="K123" s="818"/>
      <c r="L123" s="818"/>
      <c r="M123" s="818"/>
      <c r="N123" s="818"/>
      <c r="O123" s="818"/>
      <c r="P123" s="663"/>
      <c r="Q123" s="663"/>
      <c r="R123" s="818"/>
      <c r="S123" s="818"/>
      <c r="T123" s="818"/>
      <c r="U123" s="818"/>
      <c r="V123" s="818"/>
      <c r="W123" s="818"/>
      <c r="X123" s="818"/>
      <c r="Y123" s="818"/>
      <c r="Z123" s="818"/>
      <c r="AA123" s="818"/>
      <c r="AB123" s="818"/>
      <c r="AC123" s="818"/>
      <c r="AD123" s="818"/>
      <c r="AE123" s="818"/>
      <c r="AF123" s="818"/>
      <c r="AG123" s="818"/>
    </row>
    <row r="124" ht="15" customHeight="1">
      <c r="A124" s="818"/>
      <c r="B124" s="663"/>
      <c r="C124" s="818"/>
      <c r="D124" s="818"/>
      <c r="E124" s="818"/>
      <c r="F124" s="818"/>
      <c r="G124" s="818"/>
      <c r="H124" s="818"/>
      <c r="I124" s="818"/>
      <c r="J124" s="818"/>
      <c r="K124" s="818"/>
      <c r="L124" s="818"/>
      <c r="M124" s="818"/>
      <c r="N124" s="818"/>
      <c r="O124" s="818"/>
      <c r="P124" s="663"/>
      <c r="Q124" s="663"/>
      <c r="R124" s="818"/>
      <c r="S124" s="818"/>
      <c r="T124" s="818"/>
      <c r="U124" s="818"/>
      <c r="V124" s="818"/>
      <c r="W124" s="818"/>
      <c r="X124" s="818"/>
      <c r="Y124" s="818"/>
      <c r="Z124" s="818"/>
      <c r="AA124" s="818"/>
      <c r="AB124" s="818"/>
      <c r="AC124" s="818"/>
      <c r="AD124" s="818"/>
      <c r="AE124" s="818"/>
      <c r="AF124" s="818"/>
      <c r="AG124" s="818"/>
    </row>
    <row r="125" ht="15" customHeight="1">
      <c r="A125" s="818"/>
      <c r="B125" s="663"/>
      <c r="C125" s="818"/>
      <c r="D125" s="818"/>
      <c r="E125" s="818"/>
      <c r="F125" s="818"/>
      <c r="G125" s="818"/>
      <c r="H125" s="818"/>
      <c r="I125" s="818"/>
      <c r="J125" s="818"/>
      <c r="K125" s="818"/>
      <c r="L125" s="818"/>
      <c r="M125" s="818"/>
      <c r="N125" s="818"/>
      <c r="O125" s="818"/>
      <c r="P125" s="663"/>
      <c r="Q125" s="663"/>
      <c r="R125" s="818"/>
      <c r="S125" s="818"/>
      <c r="T125" s="818"/>
      <c r="U125" s="818"/>
      <c r="V125" s="818"/>
      <c r="W125" s="818"/>
      <c r="X125" s="818"/>
      <c r="Y125" s="818"/>
      <c r="Z125" s="818"/>
      <c r="AA125" s="818"/>
      <c r="AB125" s="818"/>
      <c r="AC125" s="818"/>
      <c r="AD125" s="818"/>
      <c r="AE125" s="818"/>
      <c r="AF125" s="818"/>
      <c r="AG125" s="818"/>
    </row>
    <row r="126" ht="15" customHeight="1">
      <c r="A126" s="818"/>
      <c r="B126" s="663"/>
      <c r="C126" s="818"/>
      <c r="D126" s="818"/>
      <c r="E126" s="818"/>
      <c r="F126" s="818"/>
      <c r="G126" s="818"/>
      <c r="H126" s="818"/>
      <c r="I126" s="818"/>
      <c r="J126" s="818"/>
      <c r="K126" s="818"/>
      <c r="L126" s="818"/>
      <c r="M126" s="818"/>
      <c r="N126" s="818"/>
      <c r="O126" s="818"/>
      <c r="P126" s="663"/>
      <c r="Q126" s="663"/>
      <c r="R126" s="818"/>
      <c r="S126" s="818"/>
      <c r="T126" s="818"/>
      <c r="U126" s="818"/>
      <c r="V126" s="818"/>
      <c r="W126" s="818"/>
      <c r="X126" s="818"/>
      <c r="Y126" s="818"/>
      <c r="Z126" s="818"/>
      <c r="AA126" s="818"/>
      <c r="AB126" s="818"/>
      <c r="AC126" s="818"/>
      <c r="AD126" s="818"/>
      <c r="AE126" s="818"/>
      <c r="AF126" s="818"/>
      <c r="AG126" s="818"/>
    </row>
    <row r="127" ht="15" customHeight="1">
      <c r="A127" s="818"/>
      <c r="B127" s="663"/>
      <c r="C127" s="818"/>
      <c r="D127" s="818"/>
      <c r="E127" s="818"/>
      <c r="F127" s="818"/>
      <c r="G127" s="818"/>
      <c r="H127" s="818"/>
      <c r="I127" s="818"/>
      <c r="J127" s="818"/>
      <c r="K127" s="818"/>
      <c r="L127" s="818"/>
      <c r="M127" s="818"/>
      <c r="N127" s="818"/>
      <c r="O127" s="818"/>
      <c r="P127" s="663"/>
      <c r="Q127" s="663"/>
      <c r="R127" s="818"/>
      <c r="S127" s="818"/>
      <c r="T127" s="818"/>
      <c r="U127" s="818"/>
      <c r="V127" s="818"/>
      <c r="W127" s="818"/>
      <c r="X127" s="818"/>
      <c r="Y127" s="818"/>
      <c r="Z127" s="818"/>
      <c r="AA127" s="818"/>
      <c r="AB127" s="818"/>
      <c r="AC127" s="818"/>
      <c r="AD127" s="818"/>
      <c r="AE127" s="818"/>
      <c r="AF127" s="818"/>
      <c r="AG127" s="818"/>
    </row>
    <row r="128" ht="15" customHeight="1">
      <c r="A128" s="818"/>
      <c r="B128" s="663"/>
      <c r="C128" s="818"/>
      <c r="D128" s="818"/>
      <c r="E128" s="818"/>
      <c r="F128" s="818"/>
      <c r="G128" s="818"/>
      <c r="H128" s="818"/>
      <c r="I128" s="818"/>
      <c r="J128" s="818"/>
      <c r="K128" s="818"/>
      <c r="L128" s="818"/>
      <c r="M128" s="818"/>
      <c r="N128" s="818"/>
      <c r="O128" s="818"/>
      <c r="P128" s="663"/>
      <c r="Q128" s="663"/>
      <c r="R128" s="818"/>
      <c r="S128" s="818"/>
      <c r="T128" s="818"/>
      <c r="U128" s="818"/>
      <c r="V128" s="818"/>
      <c r="W128" s="818"/>
      <c r="X128" s="818"/>
      <c r="Y128" s="818"/>
      <c r="Z128" s="818"/>
      <c r="AA128" s="818"/>
      <c r="AB128" s="818"/>
      <c r="AC128" s="818"/>
      <c r="AD128" s="818"/>
      <c r="AE128" s="818"/>
      <c r="AF128" s="818"/>
      <c r="AG128" s="818"/>
    </row>
    <row r="129" ht="15" customHeight="1">
      <c r="A129" s="818"/>
      <c r="B129" s="663"/>
      <c r="C129" s="818"/>
      <c r="D129" s="818"/>
      <c r="E129" s="818"/>
      <c r="F129" s="818"/>
      <c r="G129" s="818"/>
      <c r="H129" s="818"/>
      <c r="I129" s="818"/>
      <c r="J129" s="818"/>
      <c r="K129" s="818"/>
      <c r="L129" s="818"/>
      <c r="M129" s="818"/>
      <c r="N129" s="818"/>
      <c r="O129" s="818"/>
      <c r="P129" s="663"/>
      <c r="Q129" s="663"/>
      <c r="R129" s="818"/>
      <c r="S129" s="818"/>
      <c r="T129" s="818"/>
      <c r="U129" s="818"/>
      <c r="V129" s="818"/>
      <c r="W129" s="818"/>
      <c r="X129" s="818"/>
      <c r="Y129" s="818"/>
      <c r="Z129" s="818"/>
      <c r="AA129" s="818"/>
      <c r="AB129" s="818"/>
      <c r="AC129" s="818"/>
      <c r="AD129" s="818"/>
      <c r="AE129" s="818"/>
      <c r="AF129" s="818"/>
      <c r="AG129" s="818"/>
    </row>
    <row r="130" ht="15" customHeight="1">
      <c r="A130" s="818"/>
      <c r="B130" s="663"/>
      <c r="C130" s="818"/>
      <c r="D130" s="818"/>
      <c r="E130" s="818"/>
      <c r="F130" s="818"/>
      <c r="G130" s="818"/>
      <c r="H130" s="818"/>
      <c r="I130" s="818"/>
      <c r="J130" s="818"/>
      <c r="K130" s="818"/>
      <c r="L130" s="818"/>
      <c r="M130" s="818"/>
      <c r="N130" s="818"/>
      <c r="O130" s="818"/>
      <c r="P130" s="663"/>
      <c r="Q130" s="663"/>
      <c r="R130" s="818"/>
      <c r="S130" s="818"/>
      <c r="T130" s="818"/>
      <c r="U130" s="818"/>
      <c r="V130" s="818"/>
      <c r="W130" s="818"/>
      <c r="X130" s="818"/>
      <c r="Y130" s="818"/>
      <c r="Z130" s="818"/>
      <c r="AA130" s="818"/>
      <c r="AB130" s="818"/>
      <c r="AC130" s="818"/>
      <c r="AD130" s="818"/>
      <c r="AE130" s="818"/>
      <c r="AF130" s="818"/>
      <c r="AG130" s="818"/>
    </row>
    <row r="131" ht="15" customHeight="1">
      <c r="A131" s="818"/>
      <c r="B131" s="663"/>
      <c r="C131" s="818"/>
      <c r="D131" s="818"/>
      <c r="E131" s="818"/>
      <c r="F131" s="818"/>
      <c r="G131" s="818"/>
      <c r="H131" s="818"/>
      <c r="I131" s="818"/>
      <c r="J131" s="818"/>
      <c r="K131" s="818"/>
      <c r="L131" s="818"/>
      <c r="M131" s="818"/>
      <c r="N131" s="818"/>
      <c r="O131" s="818"/>
      <c r="P131" s="663"/>
      <c r="Q131" s="663"/>
      <c r="R131" s="818"/>
      <c r="S131" s="818"/>
      <c r="T131" s="818"/>
      <c r="U131" s="818"/>
      <c r="V131" s="818"/>
      <c r="W131" s="818"/>
      <c r="X131" s="818"/>
      <c r="Y131" s="818"/>
      <c r="Z131" s="818"/>
      <c r="AA131" s="818"/>
      <c r="AB131" s="818"/>
      <c r="AC131" s="818"/>
      <c r="AD131" s="818"/>
      <c r="AE131" s="818"/>
      <c r="AF131" s="818"/>
      <c r="AG131" s="818"/>
    </row>
    <row r="132" ht="15" customHeight="1">
      <c r="A132" s="818"/>
      <c r="B132" s="663"/>
      <c r="C132" s="818"/>
      <c r="D132" s="818"/>
      <c r="E132" s="818"/>
      <c r="F132" s="818"/>
      <c r="G132" s="818"/>
      <c r="H132" s="818"/>
      <c r="I132" s="818"/>
      <c r="J132" s="818"/>
      <c r="K132" s="818"/>
      <c r="L132" s="818"/>
      <c r="M132" s="818"/>
      <c r="N132" s="818"/>
      <c r="O132" s="818"/>
      <c r="P132" s="663"/>
      <c r="Q132" s="663"/>
      <c r="R132" s="818"/>
      <c r="S132" s="818"/>
      <c r="T132" s="818"/>
      <c r="U132" s="818"/>
      <c r="V132" s="818"/>
      <c r="W132" s="818"/>
      <c r="X132" s="818"/>
      <c r="Y132" s="818"/>
      <c r="Z132" s="818"/>
      <c r="AA132" s="818"/>
      <c r="AB132" s="818"/>
      <c r="AC132" s="818"/>
      <c r="AD132" s="818"/>
      <c r="AE132" s="818"/>
      <c r="AF132" s="818"/>
      <c r="AG132" s="818"/>
    </row>
    <row r="133" ht="15" customHeight="1">
      <c r="A133" s="818"/>
      <c r="B133" s="663"/>
      <c r="C133" s="818"/>
      <c r="D133" s="818"/>
      <c r="E133" s="818"/>
      <c r="F133" s="818"/>
      <c r="G133" s="818"/>
      <c r="H133" s="818"/>
      <c r="I133" s="818"/>
      <c r="J133" s="818"/>
      <c r="K133" s="818"/>
      <c r="L133" s="818"/>
      <c r="M133" s="818"/>
      <c r="N133" s="818"/>
      <c r="O133" s="818"/>
      <c r="P133" s="663"/>
      <c r="Q133" s="663"/>
      <c r="R133" s="818"/>
      <c r="S133" s="818"/>
      <c r="T133" s="818"/>
      <c r="U133" s="818"/>
      <c r="V133" s="818"/>
      <c r="W133" s="818"/>
      <c r="X133" s="818"/>
      <c r="Y133" s="818"/>
      <c r="Z133" s="818"/>
      <c r="AA133" s="818"/>
      <c r="AB133" s="818"/>
      <c r="AC133" s="818"/>
      <c r="AD133" s="818"/>
      <c r="AE133" s="818"/>
      <c r="AF133" s="818"/>
      <c r="AG133" s="818"/>
    </row>
    <row r="134" ht="15" customHeight="1">
      <c r="A134" s="818"/>
      <c r="B134" s="663"/>
      <c r="C134" s="818"/>
      <c r="D134" s="818"/>
      <c r="E134" s="818"/>
      <c r="F134" s="818"/>
      <c r="G134" s="818"/>
      <c r="H134" s="818"/>
      <c r="I134" s="818"/>
      <c r="J134" s="818"/>
      <c r="K134" s="818"/>
      <c r="L134" s="818"/>
      <c r="M134" s="818"/>
      <c r="N134" s="818"/>
      <c r="O134" s="818"/>
      <c r="P134" s="663"/>
      <c r="Q134" s="663"/>
      <c r="R134" s="818"/>
      <c r="S134" s="818"/>
      <c r="T134" s="818"/>
      <c r="U134" s="818"/>
      <c r="V134" s="818"/>
      <c r="W134" s="818"/>
      <c r="X134" s="818"/>
      <c r="Y134" s="818"/>
      <c r="Z134" s="818"/>
      <c r="AA134" s="818"/>
      <c r="AB134" s="818"/>
      <c r="AC134" s="818"/>
      <c r="AD134" s="818"/>
      <c r="AE134" s="818"/>
      <c r="AF134" s="818"/>
      <c r="AG134" s="818"/>
    </row>
    <row r="135" ht="15" customHeight="1">
      <c r="A135" s="818"/>
      <c r="B135" s="663"/>
      <c r="C135" s="818"/>
      <c r="D135" s="818"/>
      <c r="E135" s="818"/>
      <c r="F135" s="818"/>
      <c r="G135" s="818"/>
      <c r="H135" s="818"/>
      <c r="I135" s="818"/>
      <c r="J135" s="818"/>
      <c r="K135" s="818"/>
      <c r="L135" s="818"/>
      <c r="M135" s="818"/>
      <c r="N135" s="818"/>
      <c r="O135" s="818"/>
      <c r="P135" s="663"/>
      <c r="Q135" s="663"/>
      <c r="R135" s="818"/>
      <c r="S135" s="818"/>
      <c r="T135" s="818"/>
      <c r="U135" s="818"/>
      <c r="V135" s="818"/>
      <c r="W135" s="818"/>
      <c r="X135" s="818"/>
      <c r="Y135" s="818"/>
      <c r="Z135" s="818"/>
      <c r="AA135" s="818"/>
      <c r="AB135" s="818"/>
      <c r="AC135" s="818"/>
      <c r="AD135" s="818"/>
      <c r="AE135" s="818"/>
      <c r="AF135" s="818"/>
      <c r="AG135" s="818"/>
    </row>
    <row r="136" ht="15" customHeight="1">
      <c r="A136" s="818"/>
      <c r="B136" s="663"/>
      <c r="C136" s="818"/>
      <c r="D136" s="818"/>
      <c r="E136" s="818"/>
      <c r="F136" s="818"/>
      <c r="G136" s="818"/>
      <c r="H136" s="818"/>
      <c r="I136" s="818"/>
      <c r="J136" s="818"/>
      <c r="K136" s="818"/>
      <c r="L136" s="818"/>
      <c r="M136" s="818"/>
      <c r="N136" s="818"/>
      <c r="O136" s="818"/>
      <c r="P136" s="663"/>
      <c r="Q136" s="663"/>
      <c r="R136" s="818"/>
      <c r="S136" s="818"/>
      <c r="T136" s="818"/>
      <c r="U136" s="818"/>
      <c r="V136" s="818"/>
      <c r="W136" s="818"/>
      <c r="X136" s="818"/>
      <c r="Y136" s="818"/>
      <c r="Z136" s="818"/>
      <c r="AA136" s="818"/>
      <c r="AB136" s="818"/>
      <c r="AC136" s="818"/>
      <c r="AD136" s="818"/>
      <c r="AE136" s="818"/>
      <c r="AF136" s="818"/>
      <c r="AG136" s="818"/>
    </row>
    <row r="137" ht="15" customHeight="1">
      <c r="A137" s="818"/>
      <c r="B137" s="663"/>
      <c r="C137" s="818"/>
      <c r="D137" s="818"/>
      <c r="E137" s="818"/>
      <c r="F137" s="818"/>
      <c r="G137" s="818"/>
      <c r="H137" s="818"/>
      <c r="I137" s="818"/>
      <c r="J137" s="818"/>
      <c r="K137" s="818"/>
      <c r="L137" s="818"/>
      <c r="M137" s="818"/>
      <c r="N137" s="818"/>
      <c r="O137" s="818"/>
      <c r="P137" s="663"/>
      <c r="Q137" s="663"/>
      <c r="R137" s="818"/>
      <c r="S137" s="818"/>
      <c r="T137" s="818"/>
      <c r="U137" s="818"/>
      <c r="V137" s="818"/>
      <c r="W137" s="818"/>
      <c r="X137" s="818"/>
      <c r="Y137" s="818"/>
      <c r="Z137" s="818"/>
      <c r="AA137" s="818"/>
      <c r="AB137" s="818"/>
      <c r="AC137" s="818"/>
      <c r="AD137" s="818"/>
      <c r="AE137" s="818"/>
      <c r="AF137" s="818"/>
      <c r="AG137" s="818"/>
    </row>
    <row r="138" ht="15" customHeight="1">
      <c r="A138" s="818"/>
      <c r="B138" s="663"/>
      <c r="C138" s="818"/>
      <c r="D138" s="818"/>
      <c r="E138" s="818"/>
      <c r="F138" s="818"/>
      <c r="G138" s="818"/>
      <c r="H138" s="818"/>
      <c r="I138" s="818"/>
      <c r="J138" s="818"/>
      <c r="K138" s="818"/>
      <c r="L138" s="818"/>
      <c r="M138" s="818"/>
      <c r="N138" s="818"/>
      <c r="O138" s="818"/>
      <c r="P138" s="663"/>
      <c r="Q138" s="663"/>
      <c r="R138" s="818"/>
      <c r="S138" s="818"/>
      <c r="T138" s="818"/>
      <c r="U138" s="818"/>
      <c r="V138" s="818"/>
      <c r="W138" s="818"/>
      <c r="X138" s="818"/>
      <c r="Y138" s="818"/>
      <c r="Z138" s="818"/>
      <c r="AA138" s="818"/>
      <c r="AB138" s="818"/>
      <c r="AC138" s="818"/>
      <c r="AD138" s="818"/>
      <c r="AE138" s="818"/>
      <c r="AF138" s="818"/>
      <c r="AG138" s="818"/>
    </row>
    <row r="139" ht="15" customHeight="1">
      <c r="A139" s="818"/>
      <c r="B139" s="663"/>
      <c r="C139" s="818"/>
      <c r="D139" s="818"/>
      <c r="E139" s="818"/>
      <c r="F139" s="818"/>
      <c r="G139" s="818"/>
      <c r="H139" s="818"/>
      <c r="I139" s="818"/>
      <c r="J139" s="818"/>
      <c r="K139" s="818"/>
      <c r="L139" s="818"/>
      <c r="M139" s="818"/>
      <c r="N139" s="818"/>
      <c r="O139" s="818"/>
      <c r="P139" s="663"/>
      <c r="Q139" s="663"/>
      <c r="R139" s="818"/>
      <c r="S139" s="818"/>
      <c r="T139" s="818"/>
      <c r="U139" s="818"/>
      <c r="V139" s="818"/>
      <c r="W139" s="818"/>
      <c r="X139" s="818"/>
      <c r="Y139" s="818"/>
      <c r="Z139" s="818"/>
      <c r="AA139" s="818"/>
      <c r="AB139" s="818"/>
      <c r="AC139" s="818"/>
      <c r="AD139" s="818"/>
      <c r="AE139" s="818"/>
      <c r="AF139" s="818"/>
      <c r="AG139" s="818"/>
    </row>
    <row r="140" ht="15" customHeight="1">
      <c r="A140" s="818"/>
      <c r="B140" s="663"/>
      <c r="C140" s="818"/>
      <c r="D140" s="818"/>
      <c r="E140" s="818"/>
      <c r="F140" s="818"/>
      <c r="G140" s="818"/>
      <c r="H140" s="818"/>
      <c r="I140" s="818"/>
      <c r="J140" s="818"/>
      <c r="K140" s="818"/>
      <c r="L140" s="818"/>
      <c r="M140" s="818"/>
      <c r="N140" s="818"/>
      <c r="O140" s="818"/>
      <c r="P140" s="663"/>
      <c r="Q140" s="663"/>
      <c r="R140" s="818"/>
      <c r="S140" s="818"/>
      <c r="T140" s="818"/>
      <c r="U140" s="818"/>
      <c r="V140" s="818"/>
      <c r="W140" s="818"/>
      <c r="X140" s="818"/>
      <c r="Y140" s="818"/>
      <c r="Z140" s="818"/>
      <c r="AA140" s="818"/>
      <c r="AB140" s="818"/>
      <c r="AC140" s="818"/>
      <c r="AD140" s="818"/>
      <c r="AE140" s="818"/>
      <c r="AF140" s="818"/>
      <c r="AG140" s="818"/>
    </row>
    <row r="141" ht="15" customHeight="1">
      <c r="A141" s="818"/>
      <c r="B141" s="663"/>
      <c r="C141" s="818"/>
      <c r="D141" s="818"/>
      <c r="E141" s="818"/>
      <c r="F141" s="818"/>
      <c r="G141" s="818"/>
      <c r="H141" s="818"/>
      <c r="I141" s="818"/>
      <c r="J141" s="818"/>
      <c r="K141" s="818"/>
      <c r="L141" s="818"/>
      <c r="M141" s="818"/>
      <c r="N141" s="818"/>
      <c r="O141" s="818"/>
      <c r="P141" s="663"/>
      <c r="Q141" s="663"/>
      <c r="R141" s="818"/>
      <c r="S141" s="818"/>
      <c r="T141" s="818"/>
      <c r="U141" s="818"/>
      <c r="V141" s="818"/>
      <c r="W141" s="818"/>
      <c r="X141" s="818"/>
      <c r="Y141" s="818"/>
      <c r="Z141" s="818"/>
      <c r="AA141" s="818"/>
      <c r="AB141" s="818"/>
      <c r="AC141" s="818"/>
      <c r="AD141" s="818"/>
      <c r="AE141" s="818"/>
      <c r="AF141" s="818"/>
      <c r="AG141" s="818"/>
    </row>
    <row r="142" ht="15" customHeight="1">
      <c r="A142" s="818"/>
      <c r="B142" s="663"/>
      <c r="C142" s="818"/>
      <c r="D142" s="818"/>
      <c r="E142" s="818"/>
      <c r="F142" s="818"/>
      <c r="G142" s="818"/>
      <c r="H142" s="818"/>
      <c r="I142" s="818"/>
      <c r="J142" s="818"/>
      <c r="K142" s="818"/>
      <c r="L142" s="818"/>
      <c r="M142" s="818"/>
      <c r="N142" s="818"/>
      <c r="O142" s="818"/>
      <c r="P142" s="663"/>
      <c r="Q142" s="663"/>
      <c r="R142" s="818"/>
      <c r="S142" s="818"/>
      <c r="T142" s="818"/>
      <c r="U142" s="818"/>
      <c r="V142" s="818"/>
      <c r="W142" s="818"/>
      <c r="X142" s="818"/>
      <c r="Y142" s="818"/>
      <c r="Z142" s="818"/>
      <c r="AA142" s="818"/>
      <c r="AB142" s="818"/>
      <c r="AC142" s="818"/>
      <c r="AD142" s="818"/>
      <c r="AE142" s="818"/>
      <c r="AF142" s="818"/>
      <c r="AG142" s="818"/>
    </row>
    <row r="143" ht="15" customHeight="1">
      <c r="A143" s="818"/>
      <c r="B143" s="663"/>
      <c r="C143" s="818"/>
      <c r="D143" s="818"/>
      <c r="E143" s="818"/>
      <c r="F143" s="818"/>
      <c r="G143" s="818"/>
      <c r="H143" s="818"/>
      <c r="I143" s="818"/>
      <c r="J143" s="818"/>
      <c r="K143" s="818"/>
      <c r="L143" s="818"/>
      <c r="M143" s="818"/>
      <c r="N143" s="818"/>
      <c r="O143" s="818"/>
      <c r="P143" s="663"/>
      <c r="Q143" s="663"/>
      <c r="R143" s="818"/>
      <c r="S143" s="818"/>
      <c r="T143" s="818"/>
      <c r="U143" s="818"/>
      <c r="V143" s="818"/>
      <c r="W143" s="818"/>
      <c r="X143" s="818"/>
      <c r="Y143" s="818"/>
      <c r="Z143" s="818"/>
      <c r="AA143" s="818"/>
      <c r="AB143" s="818"/>
      <c r="AC143" s="818"/>
      <c r="AD143" s="818"/>
      <c r="AE143" s="818"/>
      <c r="AF143" s="818"/>
      <c r="AG143" s="818"/>
    </row>
    <row r="144" ht="15" customHeight="1">
      <c r="A144" s="818"/>
      <c r="B144" s="663"/>
      <c r="C144" s="818"/>
      <c r="D144" s="818"/>
      <c r="E144" s="818"/>
      <c r="F144" s="818"/>
      <c r="G144" s="818"/>
      <c r="H144" s="818"/>
      <c r="I144" s="818"/>
      <c r="J144" s="818"/>
      <c r="K144" s="818"/>
      <c r="L144" s="818"/>
      <c r="M144" s="818"/>
      <c r="N144" s="818"/>
      <c r="O144" s="818"/>
      <c r="P144" s="663"/>
      <c r="Q144" s="663"/>
      <c r="R144" s="818"/>
      <c r="S144" s="818"/>
      <c r="T144" s="818"/>
      <c r="U144" s="818"/>
      <c r="V144" s="818"/>
      <c r="W144" s="818"/>
      <c r="X144" s="818"/>
      <c r="Y144" s="818"/>
      <c r="Z144" s="818"/>
      <c r="AA144" s="818"/>
      <c r="AB144" s="818"/>
      <c r="AC144" s="818"/>
      <c r="AD144" s="818"/>
      <c r="AE144" s="818"/>
      <c r="AF144" s="818"/>
      <c r="AG144" s="818"/>
    </row>
    <row r="145" ht="15" customHeight="1">
      <c r="A145" s="818"/>
      <c r="B145" s="663"/>
      <c r="C145" s="818"/>
      <c r="D145" s="818"/>
      <c r="E145" s="818"/>
      <c r="F145" s="818"/>
      <c r="G145" s="818"/>
      <c r="H145" s="818"/>
      <c r="I145" s="818"/>
      <c r="J145" s="818"/>
      <c r="K145" s="818"/>
      <c r="L145" s="818"/>
      <c r="M145" s="818"/>
      <c r="N145" s="818"/>
      <c r="O145" s="818"/>
      <c r="P145" s="663"/>
      <c r="Q145" s="663"/>
      <c r="R145" s="818"/>
      <c r="S145" s="818"/>
      <c r="T145" s="818"/>
      <c r="U145" s="818"/>
      <c r="V145" s="818"/>
      <c r="W145" s="818"/>
      <c r="X145" s="818"/>
      <c r="Y145" s="818"/>
      <c r="Z145" s="818"/>
      <c r="AA145" s="818"/>
      <c r="AB145" s="818"/>
      <c r="AC145" s="818"/>
      <c r="AD145" s="818"/>
      <c r="AE145" s="818"/>
      <c r="AF145" s="818"/>
      <c r="AG145" s="818"/>
    </row>
    <row r="146" ht="15" customHeight="1">
      <c r="A146" s="818"/>
      <c r="B146" s="663"/>
      <c r="C146" s="818"/>
      <c r="D146" s="818"/>
      <c r="E146" s="818"/>
      <c r="F146" s="818"/>
      <c r="G146" s="818"/>
      <c r="H146" s="818"/>
      <c r="I146" s="818"/>
      <c r="J146" s="818"/>
      <c r="K146" s="818"/>
      <c r="L146" s="818"/>
      <c r="M146" s="818"/>
      <c r="N146" s="818"/>
      <c r="O146" s="818"/>
      <c r="P146" s="663"/>
      <c r="Q146" s="663"/>
      <c r="R146" s="818"/>
      <c r="S146" s="818"/>
      <c r="T146" s="818"/>
      <c r="U146" s="818"/>
      <c r="V146" s="818"/>
      <c r="W146" s="818"/>
      <c r="X146" s="818"/>
      <c r="Y146" s="818"/>
      <c r="Z146" s="818"/>
      <c r="AA146" s="818"/>
      <c r="AB146" s="818"/>
      <c r="AC146" s="818"/>
      <c r="AD146" s="818"/>
      <c r="AE146" s="818"/>
      <c r="AF146" s="818"/>
      <c r="AG146" s="818"/>
    </row>
    <row r="147" ht="15" customHeight="1">
      <c r="A147" s="818"/>
      <c r="B147" s="663"/>
      <c r="C147" s="818"/>
      <c r="D147" s="818"/>
      <c r="E147" s="818"/>
      <c r="F147" s="818"/>
      <c r="G147" s="818"/>
      <c r="H147" s="818"/>
      <c r="I147" s="818"/>
      <c r="J147" s="818"/>
      <c r="K147" s="818"/>
      <c r="L147" s="818"/>
      <c r="M147" s="818"/>
      <c r="N147" s="818"/>
      <c r="O147" s="818"/>
      <c r="P147" s="663"/>
      <c r="Q147" s="663"/>
      <c r="R147" s="818"/>
      <c r="S147" s="818"/>
      <c r="T147" s="818"/>
      <c r="U147" s="818"/>
      <c r="V147" s="818"/>
      <c r="W147" s="818"/>
      <c r="X147" s="818"/>
      <c r="Y147" s="818"/>
      <c r="Z147" s="818"/>
      <c r="AA147" s="818"/>
      <c r="AB147" s="818"/>
      <c r="AC147" s="818"/>
      <c r="AD147" s="818"/>
      <c r="AE147" s="818"/>
      <c r="AF147" s="818"/>
      <c r="AG147" s="818"/>
    </row>
    <row r="148" ht="15" customHeight="1">
      <c r="A148" s="818"/>
      <c r="B148" s="663"/>
      <c r="C148" s="818"/>
      <c r="D148" s="818"/>
      <c r="E148" s="818"/>
      <c r="F148" s="818"/>
      <c r="G148" s="818"/>
      <c r="H148" s="818"/>
      <c r="I148" s="818"/>
      <c r="J148" s="818"/>
      <c r="K148" s="818"/>
      <c r="L148" s="818"/>
      <c r="M148" s="818"/>
      <c r="N148" s="818"/>
      <c r="O148" s="818"/>
      <c r="P148" s="663"/>
      <c r="Q148" s="663"/>
      <c r="R148" s="818"/>
      <c r="S148" s="818"/>
      <c r="T148" s="818"/>
      <c r="U148" s="818"/>
      <c r="V148" s="818"/>
      <c r="W148" s="818"/>
      <c r="X148" s="818"/>
      <c r="Y148" s="818"/>
      <c r="Z148" s="818"/>
      <c r="AA148" s="818"/>
      <c r="AB148" s="818"/>
      <c r="AC148" s="818"/>
      <c r="AD148" s="818"/>
      <c r="AE148" s="818"/>
      <c r="AF148" s="818"/>
      <c r="AG148" s="818"/>
    </row>
    <row r="149" ht="15" customHeight="1">
      <c r="A149" s="818"/>
      <c r="B149" s="663"/>
      <c r="C149" s="818"/>
      <c r="D149" s="818"/>
      <c r="E149" s="818"/>
      <c r="F149" s="818"/>
      <c r="G149" s="818"/>
      <c r="H149" s="818"/>
      <c r="I149" s="818"/>
      <c r="J149" s="818"/>
      <c r="K149" s="818"/>
      <c r="L149" s="818"/>
      <c r="M149" s="818"/>
      <c r="N149" s="818"/>
      <c r="O149" s="818"/>
      <c r="P149" s="663"/>
      <c r="Q149" s="663"/>
      <c r="R149" s="818"/>
      <c r="S149" s="818"/>
      <c r="T149" s="818"/>
      <c r="U149" s="818"/>
      <c r="V149" s="818"/>
      <c r="W149" s="818"/>
      <c r="X149" s="818"/>
      <c r="Y149" s="818"/>
      <c r="Z149" s="818"/>
      <c r="AA149" s="818"/>
      <c r="AB149" s="818"/>
      <c r="AC149" s="818"/>
      <c r="AD149" s="818"/>
      <c r="AE149" s="818"/>
      <c r="AF149" s="818"/>
      <c r="AG149" s="818"/>
    </row>
    <row r="150" ht="15" customHeight="1">
      <c r="A150" s="818"/>
      <c r="B150" s="663"/>
      <c r="C150" s="818"/>
      <c r="D150" s="818"/>
      <c r="E150" s="818"/>
      <c r="F150" s="818"/>
      <c r="G150" s="818"/>
      <c r="H150" s="818"/>
      <c r="I150" s="818"/>
      <c r="J150" s="818"/>
      <c r="K150" s="818"/>
      <c r="L150" s="818"/>
      <c r="M150" s="818"/>
      <c r="N150" s="818"/>
      <c r="O150" s="818"/>
      <c r="P150" s="663"/>
      <c r="Q150" s="663"/>
      <c r="R150" s="818"/>
      <c r="S150" s="818"/>
      <c r="T150" s="818"/>
      <c r="U150" s="818"/>
      <c r="V150" s="818"/>
      <c r="W150" s="818"/>
      <c r="X150" s="818"/>
      <c r="Y150" s="818"/>
      <c r="Z150" s="818"/>
      <c r="AA150" s="818"/>
      <c r="AB150" s="818"/>
      <c r="AC150" s="818"/>
      <c r="AD150" s="818"/>
      <c r="AE150" s="818"/>
      <c r="AF150" s="818"/>
      <c r="AG150" s="818"/>
    </row>
    <row r="151" ht="15" customHeight="1">
      <c r="A151" s="818"/>
      <c r="B151" s="663"/>
      <c r="C151" s="818"/>
      <c r="D151" s="818"/>
      <c r="E151" s="818"/>
      <c r="F151" s="818"/>
      <c r="G151" s="818"/>
      <c r="H151" s="818"/>
      <c r="I151" s="818"/>
      <c r="J151" s="818"/>
      <c r="K151" s="818"/>
      <c r="L151" s="818"/>
      <c r="M151" s="818"/>
      <c r="N151" s="818"/>
      <c r="O151" s="818"/>
      <c r="P151" s="663"/>
      <c r="Q151" s="663"/>
      <c r="R151" s="818"/>
      <c r="S151" s="818"/>
      <c r="T151" s="818"/>
      <c r="U151" s="818"/>
      <c r="V151" s="818"/>
      <c r="W151" s="818"/>
      <c r="X151" s="818"/>
      <c r="Y151" s="818"/>
      <c r="Z151" s="818"/>
      <c r="AA151" s="818"/>
      <c r="AB151" s="818"/>
      <c r="AC151" s="818"/>
      <c r="AD151" s="818"/>
      <c r="AE151" s="818"/>
      <c r="AF151" s="818"/>
      <c r="AG151" s="818"/>
    </row>
    <row r="152" ht="15" customHeight="1">
      <c r="A152" s="818"/>
      <c r="B152" s="663"/>
      <c r="C152" s="818"/>
      <c r="D152" s="818"/>
      <c r="E152" s="818"/>
      <c r="F152" s="818"/>
      <c r="G152" s="818"/>
      <c r="H152" s="818"/>
      <c r="I152" s="818"/>
      <c r="J152" s="818"/>
      <c r="K152" s="818"/>
      <c r="L152" s="818"/>
      <c r="M152" s="818"/>
      <c r="N152" s="818"/>
      <c r="O152" s="818"/>
      <c r="P152" s="663"/>
      <c r="Q152" s="663"/>
      <c r="R152" s="818"/>
      <c r="S152" s="818"/>
      <c r="T152" s="818"/>
      <c r="U152" s="818"/>
      <c r="V152" s="818"/>
      <c r="W152" s="818"/>
      <c r="X152" s="818"/>
      <c r="Y152" s="818"/>
      <c r="Z152" s="818"/>
      <c r="AA152" s="818"/>
      <c r="AB152" s="818"/>
      <c r="AC152" s="818"/>
      <c r="AD152" s="818"/>
      <c r="AE152" s="818"/>
      <c r="AF152" s="818"/>
      <c r="AG152" s="818"/>
    </row>
    <row r="153" ht="15" customHeight="1">
      <c r="A153" s="818"/>
      <c r="B153" s="663"/>
      <c r="C153" s="818"/>
      <c r="D153" s="818"/>
      <c r="E153" s="818"/>
      <c r="F153" s="818"/>
      <c r="G153" s="818"/>
      <c r="H153" s="818"/>
      <c r="I153" s="818"/>
      <c r="J153" s="818"/>
      <c r="K153" s="818"/>
      <c r="L153" s="818"/>
      <c r="M153" s="818"/>
      <c r="N153" s="818"/>
      <c r="O153" s="818"/>
      <c r="P153" s="663"/>
      <c r="Q153" s="663"/>
      <c r="R153" s="818"/>
      <c r="S153" s="818"/>
      <c r="T153" s="818"/>
      <c r="U153" s="818"/>
      <c r="V153" s="818"/>
      <c r="W153" s="818"/>
      <c r="X153" s="818"/>
      <c r="Y153" s="818"/>
      <c r="Z153" s="818"/>
      <c r="AA153" s="818"/>
      <c r="AB153" s="818"/>
      <c r="AC153" s="818"/>
      <c r="AD153" s="818"/>
      <c r="AE153" s="818"/>
      <c r="AF153" s="818"/>
      <c r="AG153" s="818"/>
    </row>
    <row r="154" ht="15" customHeight="1">
      <c r="A154" s="818"/>
      <c r="B154" s="663"/>
      <c r="C154" s="818"/>
      <c r="D154" s="818"/>
      <c r="E154" s="818"/>
      <c r="F154" s="818"/>
      <c r="G154" s="818"/>
      <c r="H154" s="818"/>
      <c r="I154" s="818"/>
      <c r="J154" s="818"/>
      <c r="K154" s="818"/>
      <c r="L154" s="818"/>
      <c r="M154" s="818"/>
      <c r="N154" s="818"/>
      <c r="O154" s="818"/>
      <c r="P154" s="663"/>
      <c r="Q154" s="663"/>
      <c r="R154" s="818"/>
      <c r="S154" s="818"/>
      <c r="T154" s="818"/>
      <c r="U154" s="818"/>
      <c r="V154" s="818"/>
      <c r="W154" s="818"/>
      <c r="X154" s="818"/>
      <c r="Y154" s="818"/>
      <c r="Z154" s="818"/>
      <c r="AA154" s="818"/>
      <c r="AB154" s="818"/>
      <c r="AC154" s="818"/>
      <c r="AD154" s="818"/>
      <c r="AE154" s="818"/>
      <c r="AF154" s="818"/>
      <c r="AG154" s="818"/>
    </row>
    <row r="155" ht="15" customHeight="1">
      <c r="A155" s="818"/>
      <c r="B155" s="663"/>
      <c r="C155" s="818"/>
      <c r="D155" s="818"/>
      <c r="E155" s="818"/>
      <c r="F155" s="818"/>
      <c r="G155" s="818"/>
      <c r="H155" s="818"/>
      <c r="I155" s="818"/>
      <c r="J155" s="818"/>
      <c r="K155" s="818"/>
      <c r="L155" s="818"/>
      <c r="M155" s="818"/>
      <c r="N155" s="818"/>
      <c r="O155" s="818"/>
      <c r="P155" s="663"/>
      <c r="Q155" s="663"/>
      <c r="R155" s="818"/>
      <c r="S155" s="818"/>
      <c r="T155" s="818"/>
      <c r="U155" s="818"/>
      <c r="V155" s="818"/>
      <c r="W155" s="818"/>
      <c r="X155" s="818"/>
      <c r="Y155" s="818"/>
      <c r="Z155" s="818"/>
      <c r="AA155" s="818"/>
      <c r="AB155" s="818"/>
      <c r="AC155" s="818"/>
      <c r="AD155" s="818"/>
      <c r="AE155" s="818"/>
      <c r="AF155" s="818"/>
      <c r="AG155" s="818"/>
    </row>
    <row r="156" ht="15" customHeight="1">
      <c r="A156" s="818"/>
      <c r="B156" s="663"/>
      <c r="C156" s="818"/>
      <c r="D156" s="818"/>
      <c r="E156" s="818"/>
      <c r="F156" s="818"/>
      <c r="G156" s="818"/>
      <c r="H156" s="818"/>
      <c r="I156" s="818"/>
      <c r="J156" s="818"/>
      <c r="K156" s="818"/>
      <c r="L156" s="818"/>
      <c r="M156" s="818"/>
      <c r="N156" s="818"/>
      <c r="O156" s="818"/>
      <c r="P156" s="663"/>
      <c r="Q156" s="663"/>
      <c r="R156" s="818"/>
      <c r="S156" s="818"/>
      <c r="T156" s="818"/>
      <c r="U156" s="818"/>
      <c r="V156" s="818"/>
      <c r="W156" s="818"/>
      <c r="X156" s="818"/>
      <c r="Y156" s="818"/>
      <c r="Z156" s="818"/>
      <c r="AA156" s="818"/>
      <c r="AB156" s="818"/>
      <c r="AC156" s="818"/>
      <c r="AD156" s="818"/>
      <c r="AE156" s="818"/>
      <c r="AF156" s="818"/>
      <c r="AG156" s="818"/>
    </row>
    <row r="157" ht="15" customHeight="1">
      <c r="A157" s="818"/>
      <c r="B157" s="663"/>
      <c r="C157" s="818"/>
      <c r="D157" s="818"/>
      <c r="E157" s="818"/>
      <c r="F157" s="818"/>
      <c r="G157" s="818"/>
      <c r="H157" s="818"/>
      <c r="I157" s="818"/>
      <c r="J157" s="818"/>
      <c r="K157" s="818"/>
      <c r="L157" s="818"/>
      <c r="M157" s="818"/>
      <c r="N157" s="818"/>
      <c r="O157" s="818"/>
      <c r="P157" s="663"/>
      <c r="Q157" s="663"/>
      <c r="R157" s="818"/>
      <c r="S157" s="818"/>
      <c r="T157" s="818"/>
      <c r="U157" s="818"/>
      <c r="V157" s="818"/>
      <c r="W157" s="818"/>
      <c r="X157" s="818"/>
      <c r="Y157" s="818"/>
      <c r="Z157" s="818"/>
      <c r="AA157" s="818"/>
      <c r="AB157" s="818"/>
      <c r="AC157" s="818"/>
      <c r="AD157" s="818"/>
      <c r="AE157" s="818"/>
      <c r="AF157" s="818"/>
      <c r="AG157" s="818"/>
    </row>
    <row r="158" ht="15" customHeight="1">
      <c r="A158" s="818"/>
      <c r="B158" s="663"/>
      <c r="C158" s="818"/>
      <c r="D158" s="818"/>
      <c r="E158" s="818"/>
      <c r="F158" s="818"/>
      <c r="G158" s="818"/>
      <c r="H158" s="818"/>
      <c r="I158" s="818"/>
      <c r="J158" s="818"/>
      <c r="K158" s="818"/>
      <c r="L158" s="818"/>
      <c r="M158" s="818"/>
      <c r="N158" s="818"/>
      <c r="O158" s="818"/>
      <c r="P158" s="663"/>
      <c r="Q158" s="663"/>
      <c r="R158" s="818"/>
      <c r="S158" s="818"/>
      <c r="T158" s="818"/>
      <c r="U158" s="818"/>
      <c r="V158" s="818"/>
      <c r="W158" s="818"/>
      <c r="X158" s="818"/>
      <c r="Y158" s="818"/>
      <c r="Z158" s="818"/>
      <c r="AA158" s="818"/>
      <c r="AB158" s="818"/>
      <c r="AC158" s="818"/>
      <c r="AD158" s="818"/>
      <c r="AE158" s="818"/>
      <c r="AF158" s="818"/>
      <c r="AG158" s="818"/>
    </row>
    <row r="159" ht="15" customHeight="1">
      <c r="A159" s="818"/>
      <c r="B159" s="663"/>
      <c r="C159" s="818"/>
      <c r="D159" s="818"/>
      <c r="E159" s="818"/>
      <c r="F159" s="818"/>
      <c r="G159" s="818"/>
      <c r="H159" s="818"/>
      <c r="I159" s="818"/>
      <c r="J159" s="818"/>
      <c r="K159" s="818"/>
      <c r="L159" s="818"/>
      <c r="M159" s="818"/>
      <c r="N159" s="818"/>
      <c r="O159" s="818"/>
      <c r="P159" s="663"/>
      <c r="Q159" s="663"/>
      <c r="R159" s="818"/>
      <c r="S159" s="818"/>
      <c r="T159" s="818"/>
      <c r="U159" s="818"/>
      <c r="V159" s="818"/>
      <c r="W159" s="818"/>
      <c r="X159" s="818"/>
      <c r="Y159" s="818"/>
      <c r="Z159" s="818"/>
      <c r="AA159" s="818"/>
      <c r="AB159" s="818"/>
      <c r="AC159" s="818"/>
      <c r="AD159" s="818"/>
      <c r="AE159" s="818"/>
      <c r="AF159" s="818"/>
      <c r="AG159" s="818"/>
    </row>
    <row r="160" ht="15" customHeight="1">
      <c r="A160" s="818"/>
      <c r="B160" s="663"/>
      <c r="C160" s="818"/>
      <c r="D160" s="818"/>
      <c r="E160" s="818"/>
      <c r="F160" s="818"/>
      <c r="G160" s="818"/>
      <c r="H160" s="818"/>
      <c r="I160" s="818"/>
      <c r="J160" s="818"/>
      <c r="K160" s="818"/>
      <c r="L160" s="818"/>
      <c r="M160" s="818"/>
      <c r="N160" s="818"/>
      <c r="O160" s="818"/>
      <c r="P160" s="663"/>
      <c r="Q160" s="663"/>
      <c r="R160" s="818"/>
      <c r="S160" s="818"/>
      <c r="T160" s="818"/>
      <c r="U160" s="818"/>
      <c r="V160" s="818"/>
      <c r="W160" s="818"/>
      <c r="X160" s="818"/>
      <c r="Y160" s="818"/>
      <c r="Z160" s="818"/>
      <c r="AA160" s="818"/>
      <c r="AB160" s="818"/>
      <c r="AC160" s="818"/>
      <c r="AD160" s="818"/>
      <c r="AE160" s="818"/>
      <c r="AF160" s="818"/>
      <c r="AG160" s="818"/>
    </row>
    <row r="161" ht="15" customHeight="1">
      <c r="A161" s="818"/>
      <c r="B161" s="663"/>
      <c r="C161" s="818"/>
      <c r="D161" s="818"/>
      <c r="E161" s="818"/>
      <c r="F161" s="818"/>
      <c r="G161" s="818"/>
      <c r="H161" s="818"/>
      <c r="I161" s="818"/>
      <c r="J161" s="818"/>
      <c r="K161" s="818"/>
      <c r="L161" s="818"/>
      <c r="M161" s="818"/>
      <c r="N161" s="818"/>
      <c r="O161" s="818"/>
      <c r="P161" s="663"/>
      <c r="Q161" s="663"/>
      <c r="R161" s="818"/>
      <c r="S161" s="818"/>
      <c r="T161" s="818"/>
      <c r="U161" s="818"/>
      <c r="V161" s="818"/>
      <c r="W161" s="818"/>
      <c r="X161" s="818"/>
      <c r="Y161" s="818"/>
      <c r="Z161" s="818"/>
      <c r="AA161" s="818"/>
      <c r="AB161" s="818"/>
      <c r="AC161" s="818"/>
      <c r="AD161" s="818"/>
      <c r="AE161" s="818"/>
      <c r="AF161" s="818"/>
      <c r="AG161" s="818"/>
    </row>
    <row r="162" ht="15" customHeight="1">
      <c r="A162" s="818"/>
      <c r="B162" s="663"/>
      <c r="C162" s="818"/>
      <c r="D162" s="818"/>
      <c r="E162" s="818"/>
      <c r="F162" s="818"/>
      <c r="G162" s="818"/>
      <c r="H162" s="818"/>
      <c r="I162" s="818"/>
      <c r="J162" s="818"/>
      <c r="K162" s="818"/>
      <c r="L162" s="818"/>
      <c r="M162" s="818"/>
      <c r="N162" s="818"/>
      <c r="O162" s="818"/>
      <c r="P162" s="663"/>
      <c r="Q162" s="663"/>
      <c r="R162" s="818"/>
      <c r="S162" s="818"/>
      <c r="T162" s="818"/>
      <c r="U162" s="818"/>
      <c r="V162" s="818"/>
      <c r="W162" s="818"/>
      <c r="X162" s="818"/>
      <c r="Y162" s="818"/>
      <c r="Z162" s="818"/>
      <c r="AA162" s="818"/>
      <c r="AB162" s="818"/>
      <c r="AC162" s="818"/>
      <c r="AD162" s="818"/>
      <c r="AE162" s="818"/>
      <c r="AF162" s="818"/>
      <c r="AG162" s="818"/>
    </row>
    <row r="163" ht="15" customHeight="1">
      <c r="A163" s="818"/>
      <c r="B163" s="663"/>
      <c r="C163" s="818"/>
      <c r="D163" s="818"/>
      <c r="E163" s="818"/>
      <c r="F163" s="818"/>
      <c r="G163" s="818"/>
      <c r="H163" s="818"/>
      <c r="I163" s="818"/>
      <c r="J163" s="818"/>
      <c r="K163" s="818"/>
      <c r="L163" s="818"/>
      <c r="M163" s="818"/>
      <c r="N163" s="818"/>
      <c r="O163" s="818"/>
      <c r="P163" s="663"/>
      <c r="Q163" s="663"/>
      <c r="R163" s="818"/>
      <c r="S163" s="818"/>
      <c r="T163" s="818"/>
      <c r="U163" s="818"/>
      <c r="V163" s="818"/>
      <c r="W163" s="818"/>
      <c r="X163" s="818"/>
      <c r="Y163" s="818"/>
      <c r="Z163" s="818"/>
      <c r="AA163" s="818"/>
      <c r="AB163" s="818"/>
      <c r="AC163" s="818"/>
      <c r="AD163" s="818"/>
      <c r="AE163" s="818"/>
      <c r="AF163" s="818"/>
      <c r="AG163" s="818"/>
    </row>
    <row r="164" ht="15" customHeight="1">
      <c r="A164" s="818"/>
      <c r="B164" s="663"/>
      <c r="C164" s="818"/>
      <c r="D164" s="818"/>
      <c r="E164" s="818"/>
      <c r="F164" s="818"/>
      <c r="G164" s="818"/>
      <c r="H164" s="818"/>
      <c r="I164" s="818"/>
      <c r="J164" s="818"/>
      <c r="K164" s="818"/>
      <c r="L164" s="818"/>
      <c r="M164" s="818"/>
      <c r="N164" s="818"/>
      <c r="O164" s="818"/>
      <c r="P164" s="663"/>
      <c r="Q164" s="663"/>
      <c r="R164" s="818"/>
      <c r="S164" s="818"/>
      <c r="T164" s="818"/>
      <c r="U164" s="818"/>
      <c r="V164" s="818"/>
      <c r="W164" s="818"/>
      <c r="X164" s="818"/>
      <c r="Y164" s="818"/>
      <c r="Z164" s="818"/>
      <c r="AA164" s="818"/>
      <c r="AB164" s="818"/>
      <c r="AC164" s="818"/>
      <c r="AD164" s="818"/>
      <c r="AE164" s="818"/>
      <c r="AF164" s="818"/>
      <c r="AG164" s="818"/>
    </row>
    <row r="165" ht="15" customHeight="1">
      <c r="A165" s="818"/>
      <c r="B165" s="663"/>
      <c r="C165" s="818"/>
      <c r="D165" s="818"/>
      <c r="E165" s="818"/>
      <c r="F165" s="818"/>
      <c r="G165" s="818"/>
      <c r="H165" s="818"/>
      <c r="I165" s="818"/>
      <c r="J165" s="818"/>
      <c r="K165" s="818"/>
      <c r="L165" s="818"/>
      <c r="M165" s="818"/>
      <c r="N165" s="818"/>
      <c r="O165" s="818"/>
      <c r="P165" s="663"/>
      <c r="Q165" s="663"/>
      <c r="R165" s="818"/>
      <c r="S165" s="818"/>
      <c r="T165" s="818"/>
      <c r="U165" s="818"/>
      <c r="V165" s="818"/>
      <c r="W165" s="818"/>
      <c r="X165" s="818"/>
      <c r="Y165" s="818"/>
      <c r="Z165" s="818"/>
      <c r="AA165" s="818"/>
      <c r="AB165" s="818"/>
      <c r="AC165" s="818"/>
      <c r="AD165" s="818"/>
      <c r="AE165" s="818"/>
      <c r="AF165" s="818"/>
      <c r="AG165" s="818"/>
    </row>
    <row r="166" ht="15" customHeight="1">
      <c r="A166" s="818"/>
      <c r="B166" s="663"/>
      <c r="C166" s="818"/>
      <c r="D166" s="818"/>
      <c r="E166" s="818"/>
      <c r="F166" s="818"/>
      <c r="G166" s="818"/>
      <c r="H166" s="818"/>
      <c r="I166" s="818"/>
      <c r="J166" s="818"/>
      <c r="K166" s="818"/>
      <c r="L166" s="818"/>
      <c r="M166" s="818"/>
      <c r="N166" s="818"/>
      <c r="O166" s="818"/>
      <c r="P166" s="663"/>
      <c r="Q166" s="663"/>
      <c r="R166" s="818"/>
      <c r="S166" s="818"/>
      <c r="T166" s="818"/>
      <c r="U166" s="818"/>
      <c r="V166" s="818"/>
      <c r="W166" s="818"/>
      <c r="X166" s="818"/>
      <c r="Y166" s="818"/>
      <c r="Z166" s="818"/>
      <c r="AA166" s="818"/>
      <c r="AB166" s="818"/>
      <c r="AC166" s="818"/>
      <c r="AD166" s="818"/>
      <c r="AE166" s="818"/>
      <c r="AF166" s="818"/>
      <c r="AG166" s="818"/>
    </row>
    <row r="167" ht="15" customHeight="1">
      <c r="A167" s="818"/>
      <c r="B167" s="663"/>
      <c r="C167" s="818"/>
      <c r="D167" s="818"/>
      <c r="E167" s="818"/>
      <c r="F167" s="818"/>
      <c r="G167" s="818"/>
      <c r="H167" s="818"/>
      <c r="I167" s="818"/>
      <c r="J167" s="818"/>
      <c r="K167" s="818"/>
      <c r="L167" s="818"/>
      <c r="M167" s="818"/>
      <c r="N167" s="818"/>
      <c r="O167" s="818"/>
      <c r="P167" s="663"/>
      <c r="Q167" s="663"/>
      <c r="R167" s="818"/>
      <c r="S167" s="818"/>
      <c r="T167" s="818"/>
      <c r="U167" s="818"/>
      <c r="V167" s="818"/>
      <c r="W167" s="818"/>
      <c r="X167" s="818"/>
      <c r="Y167" s="818"/>
      <c r="Z167" s="818"/>
      <c r="AA167" s="818"/>
      <c r="AB167" s="818"/>
      <c r="AC167" s="818"/>
      <c r="AD167" s="818"/>
      <c r="AE167" s="818"/>
      <c r="AF167" s="818"/>
      <c r="AG167" s="818"/>
    </row>
    <row r="168" ht="15" customHeight="1">
      <c r="A168" s="818"/>
      <c r="B168" s="663"/>
      <c r="C168" s="818"/>
      <c r="D168" s="818"/>
      <c r="E168" s="818"/>
      <c r="F168" s="818"/>
      <c r="G168" s="818"/>
      <c r="H168" s="818"/>
      <c r="I168" s="818"/>
      <c r="J168" s="818"/>
      <c r="K168" s="818"/>
      <c r="L168" s="818"/>
      <c r="M168" s="818"/>
      <c r="N168" s="818"/>
      <c r="O168" s="818"/>
      <c r="P168" s="663"/>
      <c r="Q168" s="663"/>
      <c r="R168" s="818"/>
      <c r="S168" s="818"/>
      <c r="T168" s="818"/>
      <c r="U168" s="818"/>
      <c r="V168" s="818"/>
      <c r="W168" s="818"/>
      <c r="X168" s="818"/>
      <c r="Y168" s="818"/>
      <c r="Z168" s="818"/>
      <c r="AA168" s="818"/>
      <c r="AB168" s="818"/>
      <c r="AC168" s="818"/>
      <c r="AD168" s="818"/>
      <c r="AE168" s="818"/>
      <c r="AF168" s="818"/>
      <c r="AG168" s="818"/>
    </row>
    <row r="169" ht="15" customHeight="1">
      <c r="A169" s="818"/>
      <c r="B169" s="663"/>
      <c r="C169" s="818"/>
      <c r="D169" s="818"/>
      <c r="E169" s="818"/>
      <c r="F169" s="818"/>
      <c r="G169" s="818"/>
      <c r="H169" s="818"/>
      <c r="I169" s="818"/>
      <c r="J169" s="818"/>
      <c r="K169" s="818"/>
      <c r="L169" s="818"/>
      <c r="M169" s="818"/>
      <c r="N169" s="818"/>
      <c r="O169" s="818"/>
      <c r="P169" s="663"/>
      <c r="Q169" s="663"/>
      <c r="R169" s="818"/>
      <c r="S169" s="818"/>
      <c r="T169" s="818"/>
      <c r="U169" s="818"/>
      <c r="V169" s="818"/>
      <c r="W169" s="818"/>
      <c r="X169" s="818"/>
      <c r="Y169" s="818"/>
      <c r="Z169" s="818"/>
      <c r="AA169" s="818"/>
      <c r="AB169" s="818"/>
      <c r="AC169" s="818"/>
      <c r="AD169" s="818"/>
      <c r="AE169" s="818"/>
      <c r="AF169" s="818"/>
      <c r="AG169" s="818"/>
    </row>
    <row r="170" ht="15" customHeight="1">
      <c r="A170" s="818"/>
      <c r="B170" s="663"/>
      <c r="C170" s="818"/>
      <c r="D170" s="818"/>
      <c r="E170" s="818"/>
      <c r="F170" s="818"/>
      <c r="G170" s="818"/>
      <c r="H170" s="818"/>
      <c r="I170" s="818"/>
      <c r="J170" s="818"/>
      <c r="K170" s="818"/>
      <c r="L170" s="818"/>
      <c r="M170" s="818"/>
      <c r="N170" s="818"/>
      <c r="O170" s="818"/>
      <c r="P170" s="663"/>
      <c r="Q170" s="663"/>
      <c r="R170" s="818"/>
      <c r="S170" s="818"/>
      <c r="T170" s="818"/>
      <c r="U170" s="818"/>
      <c r="V170" s="818"/>
      <c r="W170" s="818"/>
      <c r="X170" s="818"/>
      <c r="Y170" s="818"/>
      <c r="Z170" s="818"/>
      <c r="AA170" s="818"/>
      <c r="AB170" s="818"/>
      <c r="AC170" s="818"/>
      <c r="AD170" s="818"/>
      <c r="AE170" s="818"/>
      <c r="AF170" s="818"/>
      <c r="AG170" s="818"/>
    </row>
    <row r="171" ht="15" customHeight="1">
      <c r="A171" s="818"/>
      <c r="B171" s="663"/>
      <c r="C171" s="818"/>
      <c r="D171" s="818"/>
      <c r="E171" s="818"/>
      <c r="F171" s="818"/>
      <c r="G171" s="818"/>
      <c r="H171" s="818"/>
      <c r="I171" s="818"/>
      <c r="J171" s="818"/>
      <c r="K171" s="818"/>
      <c r="L171" s="818"/>
      <c r="M171" s="818"/>
      <c r="N171" s="818"/>
      <c r="O171" s="818"/>
      <c r="P171" s="663"/>
      <c r="Q171" s="663"/>
      <c r="R171" s="818"/>
      <c r="S171" s="818"/>
      <c r="T171" s="818"/>
      <c r="U171" s="818"/>
      <c r="V171" s="818"/>
      <c r="W171" s="818"/>
      <c r="X171" s="818"/>
      <c r="Y171" s="818"/>
      <c r="Z171" s="818"/>
      <c r="AA171" s="818"/>
      <c r="AB171" s="818"/>
      <c r="AC171" s="818"/>
      <c r="AD171" s="818"/>
      <c r="AE171" s="818"/>
      <c r="AF171" s="818"/>
      <c r="AG171" s="818"/>
    </row>
    <row r="172" ht="15" customHeight="1">
      <c r="A172" s="818"/>
      <c r="B172" s="663"/>
      <c r="C172" s="818"/>
      <c r="D172" s="818"/>
      <c r="E172" s="818"/>
      <c r="F172" s="818"/>
      <c r="G172" s="818"/>
      <c r="H172" s="818"/>
      <c r="I172" s="818"/>
      <c r="J172" s="818"/>
      <c r="K172" s="818"/>
      <c r="L172" s="818"/>
      <c r="M172" s="818"/>
      <c r="N172" s="818"/>
      <c r="O172" s="818"/>
      <c r="P172" s="663"/>
      <c r="Q172" s="663"/>
      <c r="R172" s="818"/>
      <c r="S172" s="818"/>
      <c r="T172" s="818"/>
      <c r="U172" s="818"/>
      <c r="V172" s="818"/>
      <c r="W172" s="818"/>
      <c r="X172" s="818"/>
      <c r="Y172" s="818"/>
      <c r="Z172" s="818"/>
      <c r="AA172" s="818"/>
      <c r="AB172" s="818"/>
      <c r="AC172" s="818"/>
      <c r="AD172" s="818"/>
      <c r="AE172" s="818"/>
      <c r="AF172" s="818"/>
      <c r="AG172" s="818"/>
    </row>
    <row r="173" ht="15" customHeight="1">
      <c r="A173" s="818"/>
      <c r="B173" s="663"/>
      <c r="C173" s="818"/>
      <c r="D173" s="818"/>
      <c r="E173" s="818"/>
      <c r="F173" s="818"/>
      <c r="G173" s="818"/>
      <c r="H173" s="818"/>
      <c r="I173" s="818"/>
      <c r="J173" s="818"/>
      <c r="K173" s="818"/>
      <c r="L173" s="818"/>
      <c r="M173" s="818"/>
      <c r="N173" s="818"/>
      <c r="O173" s="818"/>
      <c r="P173" s="663"/>
      <c r="Q173" s="663"/>
      <c r="R173" s="818"/>
      <c r="S173" s="818"/>
      <c r="T173" s="818"/>
      <c r="U173" s="818"/>
      <c r="V173" s="818"/>
      <c r="W173" s="818"/>
      <c r="X173" s="818"/>
      <c r="Y173" s="818"/>
      <c r="Z173" s="818"/>
      <c r="AA173" s="818"/>
      <c r="AB173" s="818"/>
      <c r="AC173" s="818"/>
      <c r="AD173" s="818"/>
      <c r="AE173" s="818"/>
      <c r="AF173" s="818"/>
      <c r="AG173" s="818"/>
    </row>
    <row r="174" ht="15" customHeight="1">
      <c r="A174" s="818"/>
      <c r="B174" s="663"/>
      <c r="C174" s="818"/>
      <c r="D174" s="818"/>
      <c r="E174" s="818"/>
      <c r="F174" s="818"/>
      <c r="G174" s="818"/>
      <c r="H174" s="818"/>
      <c r="I174" s="818"/>
      <c r="J174" s="818"/>
      <c r="K174" s="818"/>
      <c r="L174" s="818"/>
      <c r="M174" s="818"/>
      <c r="N174" s="818"/>
      <c r="O174" s="818"/>
      <c r="P174" s="663"/>
      <c r="Q174" s="663"/>
      <c r="R174" s="818"/>
      <c r="S174" s="818"/>
      <c r="T174" s="818"/>
      <c r="U174" s="818"/>
      <c r="V174" s="818"/>
      <c r="W174" s="818"/>
      <c r="X174" s="818"/>
      <c r="Y174" s="818"/>
      <c r="Z174" s="818"/>
      <c r="AA174" s="818"/>
      <c r="AB174" s="818"/>
      <c r="AC174" s="818"/>
      <c r="AD174" s="818"/>
      <c r="AE174" s="818"/>
      <c r="AF174" s="818"/>
      <c r="AG174" s="818"/>
    </row>
    <row r="175" ht="15" customHeight="1">
      <c r="A175" s="818"/>
      <c r="B175" s="663"/>
      <c r="C175" s="818"/>
      <c r="D175" s="818"/>
      <c r="E175" s="818"/>
      <c r="F175" s="818"/>
      <c r="G175" s="818"/>
      <c r="H175" s="818"/>
      <c r="I175" s="818"/>
      <c r="J175" s="818"/>
      <c r="K175" s="818"/>
      <c r="L175" s="818"/>
      <c r="M175" s="818"/>
      <c r="N175" s="818"/>
      <c r="O175" s="818"/>
      <c r="P175" s="663"/>
      <c r="Q175" s="663"/>
      <c r="R175" s="818"/>
      <c r="S175" s="818"/>
      <c r="T175" s="818"/>
      <c r="U175" s="818"/>
      <c r="V175" s="818"/>
      <c r="W175" s="818"/>
      <c r="X175" s="818"/>
      <c r="Y175" s="818"/>
      <c r="Z175" s="818"/>
      <c r="AA175" s="818"/>
      <c r="AB175" s="818"/>
      <c r="AC175" s="818"/>
      <c r="AD175" s="818"/>
      <c r="AE175" s="818"/>
      <c r="AF175" s="818"/>
      <c r="AG175" s="818"/>
    </row>
    <row r="176" ht="15" customHeight="1">
      <c r="A176" s="818"/>
      <c r="B176" s="663"/>
      <c r="C176" s="818"/>
      <c r="D176" s="818"/>
      <c r="E176" s="818"/>
      <c r="F176" s="818"/>
      <c r="G176" s="818"/>
      <c r="H176" s="818"/>
      <c r="I176" s="818"/>
      <c r="J176" s="818"/>
      <c r="K176" s="818"/>
      <c r="L176" s="818"/>
      <c r="M176" s="818"/>
      <c r="N176" s="818"/>
      <c r="O176" s="818"/>
      <c r="P176" s="663"/>
      <c r="Q176" s="663"/>
      <c r="R176" s="818"/>
      <c r="S176" s="818"/>
      <c r="T176" s="818"/>
      <c r="U176" s="818"/>
      <c r="V176" s="818"/>
      <c r="W176" s="818"/>
      <c r="X176" s="818"/>
      <c r="Y176" s="818"/>
      <c r="Z176" s="818"/>
      <c r="AA176" s="818"/>
      <c r="AB176" s="818"/>
      <c r="AC176" s="818"/>
      <c r="AD176" s="818"/>
      <c r="AE176" s="818"/>
      <c r="AF176" s="818"/>
      <c r="AG176" s="818"/>
    </row>
    <row r="177" ht="15" customHeight="1">
      <c r="A177" s="818"/>
      <c r="B177" s="663"/>
      <c r="C177" s="818"/>
      <c r="D177" s="818"/>
      <c r="E177" s="818"/>
      <c r="F177" s="818"/>
      <c r="G177" s="818"/>
      <c r="H177" s="818"/>
      <c r="I177" s="818"/>
      <c r="J177" s="818"/>
      <c r="K177" s="818"/>
      <c r="L177" s="818"/>
      <c r="M177" s="818"/>
      <c r="N177" s="818"/>
      <c r="O177" s="818"/>
      <c r="P177" s="663"/>
      <c r="Q177" s="663"/>
      <c r="R177" s="818"/>
      <c r="S177" s="818"/>
      <c r="T177" s="818"/>
      <c r="U177" s="818"/>
      <c r="V177" s="818"/>
      <c r="W177" s="818"/>
      <c r="X177" s="818"/>
      <c r="Y177" s="818"/>
      <c r="Z177" s="818"/>
      <c r="AA177" s="818"/>
      <c r="AB177" s="818"/>
      <c r="AC177" s="818"/>
      <c r="AD177" s="818"/>
      <c r="AE177" s="818"/>
      <c r="AF177" s="818"/>
      <c r="AG177" s="818"/>
    </row>
    <row r="178" ht="15" customHeight="1">
      <c r="A178" s="818"/>
      <c r="B178" s="663"/>
      <c r="C178" s="818"/>
      <c r="D178" s="818"/>
      <c r="E178" s="818"/>
      <c r="F178" s="818"/>
      <c r="G178" s="818"/>
      <c r="H178" s="818"/>
      <c r="I178" s="818"/>
      <c r="J178" s="818"/>
      <c r="K178" s="818"/>
      <c r="L178" s="818"/>
      <c r="M178" s="818"/>
      <c r="N178" s="818"/>
      <c r="O178" s="818"/>
      <c r="P178" s="663"/>
      <c r="Q178" s="663"/>
      <c r="R178" s="818"/>
      <c r="S178" s="818"/>
      <c r="T178" s="818"/>
      <c r="U178" s="818"/>
      <c r="V178" s="818"/>
      <c r="W178" s="818"/>
      <c r="X178" s="818"/>
      <c r="Y178" s="818"/>
      <c r="Z178" s="818"/>
      <c r="AA178" s="818"/>
      <c r="AB178" s="818"/>
      <c r="AC178" s="818"/>
      <c r="AD178" s="818"/>
      <c r="AE178" s="818"/>
      <c r="AF178" s="818"/>
      <c r="AG178" s="818"/>
    </row>
    <row r="179" ht="15" customHeight="1">
      <c r="A179" s="818"/>
      <c r="B179" s="663"/>
      <c r="C179" s="818"/>
      <c r="D179" s="818"/>
      <c r="E179" s="818"/>
      <c r="F179" s="818"/>
      <c r="G179" s="818"/>
      <c r="H179" s="818"/>
      <c r="I179" s="818"/>
      <c r="J179" s="818"/>
      <c r="K179" s="818"/>
      <c r="L179" s="818"/>
      <c r="M179" s="818"/>
      <c r="N179" s="818"/>
      <c r="O179" s="818"/>
      <c r="P179" s="663"/>
      <c r="Q179" s="663"/>
      <c r="R179" s="818"/>
      <c r="S179" s="818"/>
      <c r="T179" s="818"/>
      <c r="U179" s="818"/>
      <c r="V179" s="818"/>
      <c r="W179" s="818"/>
      <c r="X179" s="818"/>
      <c r="Y179" s="818"/>
      <c r="Z179" s="818"/>
      <c r="AA179" s="818"/>
      <c r="AB179" s="818"/>
      <c r="AC179" s="818"/>
      <c r="AD179" s="818"/>
      <c r="AE179" s="818"/>
      <c r="AF179" s="818"/>
      <c r="AG179" s="818"/>
    </row>
    <row r="180" ht="15" customHeight="1">
      <c r="A180" s="818"/>
      <c r="B180" s="663"/>
      <c r="C180" s="818"/>
      <c r="D180" s="818"/>
      <c r="E180" s="818"/>
      <c r="F180" s="818"/>
      <c r="G180" s="818"/>
      <c r="H180" s="818"/>
      <c r="I180" s="818"/>
      <c r="J180" s="818"/>
      <c r="K180" s="818"/>
      <c r="L180" s="818"/>
      <c r="M180" s="818"/>
      <c r="N180" s="818"/>
      <c r="O180" s="818"/>
      <c r="P180" s="663"/>
      <c r="Q180" s="663"/>
      <c r="R180" s="818"/>
      <c r="S180" s="818"/>
      <c r="T180" s="818"/>
      <c r="U180" s="818"/>
      <c r="V180" s="818"/>
      <c r="W180" s="818"/>
      <c r="X180" s="818"/>
      <c r="Y180" s="818"/>
      <c r="Z180" s="818"/>
      <c r="AA180" s="818"/>
      <c r="AB180" s="818"/>
      <c r="AC180" s="818"/>
      <c r="AD180" s="818"/>
      <c r="AE180" s="818"/>
      <c r="AF180" s="818"/>
      <c r="AG180" s="818"/>
    </row>
    <row r="181" ht="15" customHeight="1">
      <c r="A181" s="818"/>
      <c r="B181" s="663"/>
      <c r="C181" s="818"/>
      <c r="D181" s="818"/>
      <c r="E181" s="818"/>
      <c r="F181" s="818"/>
      <c r="G181" s="818"/>
      <c r="H181" s="818"/>
      <c r="I181" s="818"/>
      <c r="J181" s="818"/>
      <c r="K181" s="818"/>
      <c r="L181" s="818"/>
      <c r="M181" s="818"/>
      <c r="N181" s="818"/>
      <c r="O181" s="818"/>
      <c r="P181" s="663"/>
      <c r="Q181" s="663"/>
      <c r="R181" s="818"/>
      <c r="S181" s="818"/>
      <c r="T181" s="818"/>
      <c r="U181" s="818"/>
      <c r="V181" s="818"/>
      <c r="W181" s="818"/>
      <c r="X181" s="818"/>
      <c r="Y181" s="818"/>
      <c r="Z181" s="818"/>
      <c r="AA181" s="818"/>
      <c r="AB181" s="818"/>
      <c r="AC181" s="818"/>
      <c r="AD181" s="818"/>
      <c r="AE181" s="818"/>
      <c r="AF181" s="818"/>
      <c r="AG181" s="818"/>
    </row>
    <row r="182" ht="15" customHeight="1">
      <c r="A182" s="818"/>
      <c r="B182" s="663"/>
      <c r="C182" s="818"/>
      <c r="D182" s="818"/>
      <c r="E182" s="818"/>
      <c r="F182" s="818"/>
      <c r="G182" s="818"/>
      <c r="H182" s="818"/>
      <c r="I182" s="818"/>
      <c r="J182" s="818"/>
      <c r="K182" s="818"/>
      <c r="L182" s="818"/>
      <c r="M182" s="818"/>
      <c r="N182" s="818"/>
      <c r="O182" s="818"/>
      <c r="P182" s="663"/>
      <c r="Q182" s="663"/>
      <c r="R182" s="818"/>
      <c r="S182" s="818"/>
      <c r="T182" s="818"/>
      <c r="U182" s="818"/>
      <c r="V182" s="818"/>
      <c r="W182" s="818"/>
      <c r="X182" s="818"/>
      <c r="Y182" s="818"/>
      <c r="Z182" s="818"/>
      <c r="AA182" s="818"/>
      <c r="AB182" s="818"/>
      <c r="AC182" s="818"/>
      <c r="AD182" s="818"/>
      <c r="AE182" s="818"/>
      <c r="AF182" s="818"/>
      <c r="AG182" s="818"/>
    </row>
    <row r="183" ht="15" customHeight="1">
      <c r="A183" s="818"/>
      <c r="B183" s="663"/>
      <c r="C183" s="818"/>
      <c r="D183" s="818"/>
      <c r="E183" s="818"/>
      <c r="F183" s="818"/>
      <c r="G183" s="818"/>
      <c r="H183" s="818"/>
      <c r="I183" s="818"/>
      <c r="J183" s="818"/>
      <c r="K183" s="818"/>
      <c r="L183" s="818"/>
      <c r="M183" s="818"/>
      <c r="N183" s="818"/>
      <c r="O183" s="818"/>
      <c r="P183" s="663"/>
      <c r="Q183" s="663"/>
      <c r="R183" s="818"/>
      <c r="S183" s="818"/>
      <c r="T183" s="818"/>
      <c r="U183" s="818"/>
      <c r="V183" s="818"/>
      <c r="W183" s="818"/>
      <c r="X183" s="818"/>
      <c r="Y183" s="818"/>
      <c r="Z183" s="818"/>
      <c r="AA183" s="818"/>
      <c r="AB183" s="818"/>
      <c r="AC183" s="818"/>
      <c r="AD183" s="818"/>
      <c r="AE183" s="818"/>
      <c r="AF183" s="818"/>
      <c r="AG183" s="818"/>
    </row>
    <row r="184" ht="15" customHeight="1">
      <c r="A184" s="818"/>
      <c r="B184" s="663"/>
      <c r="C184" s="818"/>
      <c r="D184" s="818"/>
      <c r="E184" s="818"/>
      <c r="F184" s="818"/>
      <c r="G184" s="818"/>
      <c r="H184" s="818"/>
      <c r="I184" s="818"/>
      <c r="J184" s="818"/>
      <c r="K184" s="818"/>
      <c r="L184" s="818"/>
      <c r="M184" s="818"/>
      <c r="N184" s="818"/>
      <c r="O184" s="818"/>
      <c r="P184" s="663"/>
      <c r="Q184" s="663"/>
      <c r="R184" s="818"/>
      <c r="S184" s="818"/>
      <c r="T184" s="818"/>
      <c r="U184" s="818"/>
      <c r="V184" s="818"/>
      <c r="W184" s="818"/>
      <c r="X184" s="818"/>
      <c r="Y184" s="818"/>
      <c r="Z184" s="818"/>
      <c r="AA184" s="818"/>
      <c r="AB184" s="818"/>
      <c r="AC184" s="818"/>
      <c r="AD184" s="818"/>
      <c r="AE184" s="818"/>
      <c r="AF184" s="818"/>
      <c r="AG184" s="818"/>
    </row>
    <row r="185" ht="15" customHeight="1">
      <c r="A185" s="818"/>
      <c r="B185" s="663"/>
      <c r="C185" s="818"/>
      <c r="D185" s="818"/>
      <c r="E185" s="818"/>
      <c r="F185" s="818"/>
      <c r="G185" s="818"/>
      <c r="H185" s="818"/>
      <c r="I185" s="818"/>
      <c r="J185" s="818"/>
      <c r="K185" s="818"/>
      <c r="L185" s="818"/>
      <c r="M185" s="818"/>
      <c r="N185" s="818"/>
      <c r="O185" s="818"/>
      <c r="P185" s="663"/>
      <c r="Q185" s="663"/>
      <c r="R185" s="818"/>
      <c r="S185" s="818"/>
      <c r="T185" s="818"/>
      <c r="U185" s="818"/>
      <c r="V185" s="818"/>
      <c r="W185" s="818"/>
      <c r="X185" s="818"/>
      <c r="Y185" s="818"/>
      <c r="Z185" s="818"/>
      <c r="AA185" s="818"/>
      <c r="AB185" s="818"/>
      <c r="AC185" s="818"/>
      <c r="AD185" s="818"/>
      <c r="AE185" s="818"/>
      <c r="AF185" s="818"/>
      <c r="AG185" s="818"/>
    </row>
    <row r="186" ht="15" customHeight="1">
      <c r="A186" s="818"/>
      <c r="B186" s="663"/>
      <c r="C186" s="818"/>
      <c r="D186" s="818"/>
      <c r="E186" s="818"/>
      <c r="F186" s="818"/>
      <c r="G186" s="818"/>
      <c r="H186" s="818"/>
      <c r="I186" s="818"/>
      <c r="J186" s="818"/>
      <c r="K186" s="818"/>
      <c r="L186" s="818"/>
      <c r="M186" s="818"/>
      <c r="N186" s="818"/>
      <c r="O186" s="818"/>
      <c r="P186" s="663"/>
      <c r="Q186" s="663"/>
      <c r="R186" s="818"/>
      <c r="S186" s="818"/>
      <c r="T186" s="818"/>
      <c r="U186" s="818"/>
      <c r="V186" s="818"/>
      <c r="W186" s="818"/>
      <c r="X186" s="818"/>
      <c r="Y186" s="818"/>
      <c r="Z186" s="818"/>
      <c r="AA186" s="818"/>
      <c r="AB186" s="818"/>
      <c r="AC186" s="818"/>
      <c r="AD186" s="818"/>
      <c r="AE186" s="818"/>
      <c r="AF186" s="818"/>
      <c r="AG186" s="818"/>
    </row>
    <row r="187" ht="15" customHeight="1">
      <c r="A187" s="818"/>
      <c r="B187" s="663"/>
      <c r="C187" s="818"/>
      <c r="D187" s="818"/>
      <c r="E187" s="818"/>
      <c r="F187" s="818"/>
      <c r="G187" s="818"/>
      <c r="H187" s="818"/>
      <c r="I187" s="818"/>
      <c r="J187" s="818"/>
      <c r="K187" s="818"/>
      <c r="L187" s="818"/>
      <c r="M187" s="818"/>
      <c r="N187" s="818"/>
      <c r="O187" s="818"/>
      <c r="P187" s="663"/>
      <c r="Q187" s="663"/>
      <c r="R187" s="818"/>
      <c r="S187" s="818"/>
      <c r="T187" s="818"/>
      <c r="U187" s="818"/>
      <c r="V187" s="818"/>
      <c r="W187" s="818"/>
      <c r="X187" s="818"/>
      <c r="Y187" s="818"/>
      <c r="Z187" s="818"/>
      <c r="AA187" s="818"/>
      <c r="AB187" s="818"/>
      <c r="AC187" s="818"/>
      <c r="AD187" s="818"/>
      <c r="AE187" s="818"/>
      <c r="AF187" s="818"/>
      <c r="AG187" s="818"/>
    </row>
    <row r="188" ht="15" customHeight="1">
      <c r="A188" s="818"/>
      <c r="B188" s="663"/>
      <c r="C188" s="818"/>
      <c r="D188" s="818"/>
      <c r="E188" s="818"/>
      <c r="F188" s="818"/>
      <c r="G188" s="818"/>
      <c r="H188" s="818"/>
      <c r="I188" s="818"/>
      <c r="J188" s="818"/>
      <c r="K188" s="818"/>
      <c r="L188" s="818"/>
      <c r="M188" s="818"/>
      <c r="N188" s="818"/>
      <c r="O188" s="818"/>
      <c r="P188" s="663"/>
      <c r="Q188" s="663"/>
      <c r="R188" s="818"/>
      <c r="S188" s="818"/>
      <c r="T188" s="818"/>
      <c r="U188" s="818"/>
      <c r="V188" s="818"/>
      <c r="W188" s="818"/>
      <c r="X188" s="818"/>
      <c r="Y188" s="818"/>
      <c r="Z188" s="818"/>
      <c r="AA188" s="818"/>
      <c r="AB188" s="818"/>
      <c r="AC188" s="818"/>
      <c r="AD188" s="818"/>
      <c r="AE188" s="818"/>
      <c r="AF188" s="818"/>
      <c r="AG188" s="818"/>
    </row>
    <row r="189" ht="15" customHeight="1">
      <c r="A189" s="818"/>
      <c r="B189" s="663"/>
      <c r="C189" s="818"/>
      <c r="D189" s="818"/>
      <c r="E189" s="818"/>
      <c r="F189" s="818"/>
      <c r="G189" s="818"/>
      <c r="H189" s="818"/>
      <c r="I189" s="818"/>
      <c r="J189" s="818"/>
      <c r="K189" s="818"/>
      <c r="L189" s="818"/>
      <c r="M189" s="818"/>
      <c r="N189" s="818"/>
      <c r="O189" s="818"/>
      <c r="P189" s="663"/>
      <c r="Q189" s="663"/>
      <c r="R189" s="818"/>
      <c r="S189" s="818"/>
      <c r="T189" s="818"/>
      <c r="U189" s="818"/>
      <c r="V189" s="818"/>
      <c r="W189" s="818"/>
      <c r="X189" s="818"/>
      <c r="Y189" s="818"/>
      <c r="Z189" s="818"/>
      <c r="AA189" s="818"/>
      <c r="AB189" s="818"/>
      <c r="AC189" s="818"/>
      <c r="AD189" s="818"/>
      <c r="AE189" s="818"/>
      <c r="AF189" s="818"/>
      <c r="AG189" s="818"/>
    </row>
    <row r="190" ht="15" customHeight="1">
      <c r="A190" s="818"/>
      <c r="B190" s="663"/>
      <c r="C190" s="818"/>
      <c r="D190" s="818"/>
      <c r="E190" s="818"/>
      <c r="F190" s="818"/>
      <c r="G190" s="818"/>
      <c r="H190" s="818"/>
      <c r="I190" s="818"/>
      <c r="J190" s="818"/>
      <c r="K190" s="818"/>
      <c r="L190" s="818"/>
      <c r="M190" s="818"/>
      <c r="N190" s="818"/>
      <c r="O190" s="818"/>
      <c r="P190" s="663"/>
      <c r="Q190" s="663"/>
      <c r="R190" s="818"/>
      <c r="S190" s="818"/>
      <c r="T190" s="818"/>
      <c r="U190" s="818"/>
      <c r="V190" s="818"/>
      <c r="W190" s="818"/>
      <c r="X190" s="818"/>
      <c r="Y190" s="818"/>
      <c r="Z190" s="818"/>
      <c r="AA190" s="818"/>
      <c r="AB190" s="818"/>
      <c r="AC190" s="818"/>
      <c r="AD190" s="818"/>
      <c r="AE190" s="818"/>
      <c r="AF190" s="818"/>
      <c r="AG190" s="818"/>
    </row>
    <row r="191" ht="15" customHeight="1">
      <c r="A191" s="818"/>
      <c r="B191" s="663"/>
      <c r="C191" s="818"/>
      <c r="D191" s="818"/>
      <c r="E191" s="818"/>
      <c r="F191" s="818"/>
      <c r="G191" s="818"/>
      <c r="H191" s="818"/>
      <c r="I191" s="818"/>
      <c r="J191" s="818"/>
      <c r="K191" s="818"/>
      <c r="L191" s="818"/>
      <c r="M191" s="818"/>
      <c r="N191" s="818"/>
      <c r="O191" s="818"/>
      <c r="P191" s="663"/>
      <c r="Q191" s="663"/>
      <c r="R191" s="818"/>
      <c r="S191" s="818"/>
      <c r="T191" s="818"/>
      <c r="U191" s="818"/>
      <c r="V191" s="818"/>
      <c r="W191" s="818"/>
      <c r="X191" s="818"/>
      <c r="Y191" s="818"/>
      <c r="Z191" s="818"/>
      <c r="AA191" s="818"/>
      <c r="AB191" s="818"/>
      <c r="AC191" s="818"/>
      <c r="AD191" s="818"/>
      <c r="AE191" s="818"/>
      <c r="AF191" s="818"/>
      <c r="AG191" s="818"/>
    </row>
    <row r="192" ht="15" customHeight="1">
      <c r="A192" s="818"/>
      <c r="B192" s="663"/>
      <c r="C192" s="818"/>
      <c r="D192" s="818"/>
      <c r="E192" s="818"/>
      <c r="F192" s="818"/>
      <c r="G192" s="818"/>
      <c r="H192" s="818"/>
      <c r="I192" s="818"/>
      <c r="J192" s="818"/>
      <c r="K192" s="818"/>
      <c r="L192" s="818"/>
      <c r="M192" s="818"/>
      <c r="N192" s="818"/>
      <c r="O192" s="818"/>
      <c r="P192" s="663"/>
      <c r="Q192" s="663"/>
      <c r="R192" s="818"/>
      <c r="S192" s="818"/>
      <c r="T192" s="818"/>
      <c r="U192" s="818"/>
      <c r="V192" s="818"/>
      <c r="W192" s="818"/>
      <c r="X192" s="818"/>
      <c r="Y192" s="818"/>
      <c r="Z192" s="818"/>
      <c r="AA192" s="818"/>
      <c r="AB192" s="818"/>
      <c r="AC192" s="818"/>
      <c r="AD192" s="818"/>
      <c r="AE192" s="818"/>
      <c r="AF192" s="818"/>
      <c r="AG192" s="818"/>
    </row>
    <row r="193" ht="15" customHeight="1">
      <c r="A193" s="818"/>
      <c r="B193" s="663"/>
      <c r="C193" s="818"/>
      <c r="D193" s="818"/>
      <c r="E193" s="818"/>
      <c r="F193" s="818"/>
      <c r="G193" s="818"/>
      <c r="H193" s="818"/>
      <c r="I193" s="818"/>
      <c r="J193" s="818"/>
      <c r="K193" s="818"/>
      <c r="L193" s="818"/>
      <c r="M193" s="818"/>
      <c r="N193" s="818"/>
      <c r="O193" s="818"/>
      <c r="P193" s="663"/>
      <c r="Q193" s="663"/>
      <c r="R193" s="818"/>
      <c r="S193" s="818"/>
      <c r="T193" s="818"/>
      <c r="U193" s="818"/>
      <c r="V193" s="818"/>
      <c r="W193" s="818"/>
      <c r="X193" s="818"/>
      <c r="Y193" s="818"/>
      <c r="Z193" s="818"/>
      <c r="AA193" s="818"/>
      <c r="AB193" s="818"/>
      <c r="AC193" s="818"/>
      <c r="AD193" s="818"/>
      <c r="AE193" s="818"/>
      <c r="AF193" s="818"/>
      <c r="AG193" s="818"/>
    </row>
    <row r="194" ht="15" customHeight="1">
      <c r="A194" s="818"/>
      <c r="B194" s="663"/>
      <c r="C194" s="818"/>
      <c r="D194" s="818"/>
      <c r="E194" s="818"/>
      <c r="F194" s="818"/>
      <c r="G194" s="818"/>
      <c r="H194" s="818"/>
      <c r="I194" s="818"/>
      <c r="J194" s="818"/>
      <c r="K194" s="818"/>
      <c r="L194" s="818"/>
      <c r="M194" s="818"/>
      <c r="N194" s="818"/>
      <c r="O194" s="818"/>
      <c r="P194" s="663"/>
      <c r="Q194" s="663"/>
      <c r="R194" s="818"/>
      <c r="S194" s="818"/>
      <c r="T194" s="818"/>
      <c r="U194" s="818"/>
      <c r="V194" s="818"/>
      <c r="W194" s="818"/>
      <c r="X194" s="818"/>
      <c r="Y194" s="818"/>
      <c r="Z194" s="818"/>
      <c r="AA194" s="818"/>
      <c r="AB194" s="818"/>
      <c r="AC194" s="818"/>
      <c r="AD194" s="818"/>
      <c r="AE194" s="818"/>
      <c r="AF194" s="818"/>
      <c r="AG194" s="818"/>
    </row>
    <row r="195" ht="15" customHeight="1">
      <c r="A195" s="818"/>
      <c r="B195" s="663"/>
      <c r="C195" s="818"/>
      <c r="D195" s="818"/>
      <c r="E195" s="818"/>
      <c r="F195" s="818"/>
      <c r="G195" s="818"/>
      <c r="H195" s="818"/>
      <c r="I195" s="818"/>
      <c r="J195" s="818"/>
      <c r="K195" s="818"/>
      <c r="L195" s="818"/>
      <c r="M195" s="818"/>
      <c r="N195" s="818"/>
      <c r="O195" s="818"/>
      <c r="P195" s="663"/>
      <c r="Q195" s="663"/>
      <c r="R195" s="818"/>
      <c r="S195" s="818"/>
      <c r="T195" s="818"/>
      <c r="U195" s="818"/>
      <c r="V195" s="818"/>
      <c r="W195" s="818"/>
      <c r="X195" s="818"/>
      <c r="Y195" s="818"/>
      <c r="Z195" s="818"/>
      <c r="AA195" s="818"/>
      <c r="AB195" s="818"/>
      <c r="AC195" s="818"/>
      <c r="AD195" s="818"/>
      <c r="AE195" s="818"/>
      <c r="AF195" s="818"/>
      <c r="AG195" s="818"/>
    </row>
    <row r="196" ht="15" customHeight="1">
      <c r="A196" s="818"/>
      <c r="B196" s="663"/>
      <c r="C196" s="818"/>
      <c r="D196" s="818"/>
      <c r="E196" s="818"/>
      <c r="F196" s="818"/>
      <c r="G196" s="818"/>
      <c r="H196" s="818"/>
      <c r="I196" s="818"/>
      <c r="J196" s="818"/>
      <c r="K196" s="818"/>
      <c r="L196" s="818"/>
      <c r="M196" s="818"/>
      <c r="N196" s="818"/>
      <c r="O196" s="818"/>
      <c r="P196" s="663"/>
      <c r="Q196" s="663"/>
      <c r="R196" s="818"/>
      <c r="S196" s="818"/>
      <c r="T196" s="818"/>
      <c r="U196" s="818"/>
      <c r="V196" s="818"/>
      <c r="W196" s="818"/>
      <c r="X196" s="818"/>
      <c r="Y196" s="818"/>
      <c r="Z196" s="818"/>
      <c r="AA196" s="818"/>
      <c r="AB196" s="818"/>
      <c r="AC196" s="818"/>
      <c r="AD196" s="818"/>
      <c r="AE196" s="818"/>
      <c r="AF196" s="818"/>
      <c r="AG196" s="818"/>
    </row>
    <row r="197" ht="15" customHeight="1">
      <c r="A197" s="818"/>
      <c r="B197" s="663"/>
      <c r="C197" s="818"/>
      <c r="D197" s="818"/>
      <c r="E197" s="818"/>
      <c r="F197" s="818"/>
      <c r="G197" s="818"/>
      <c r="H197" s="818"/>
      <c r="I197" s="818"/>
      <c r="J197" s="818"/>
      <c r="K197" s="818"/>
      <c r="L197" s="818"/>
      <c r="M197" s="818"/>
      <c r="N197" s="818"/>
      <c r="O197" s="818"/>
      <c r="P197" s="663"/>
      <c r="Q197" s="663"/>
      <c r="R197" s="818"/>
      <c r="S197" s="818"/>
      <c r="T197" s="818"/>
      <c r="U197" s="818"/>
      <c r="V197" s="818"/>
      <c r="W197" s="818"/>
      <c r="X197" s="818"/>
      <c r="Y197" s="818"/>
      <c r="Z197" s="818"/>
      <c r="AA197" s="818"/>
      <c r="AB197" s="818"/>
      <c r="AC197" s="818"/>
      <c r="AD197" s="818"/>
      <c r="AE197" s="818"/>
      <c r="AF197" s="818"/>
      <c r="AG197" s="818"/>
    </row>
    <row r="198" ht="15" customHeight="1">
      <c r="A198" s="818"/>
      <c r="B198" s="663"/>
      <c r="C198" s="818"/>
      <c r="D198" s="818"/>
      <c r="E198" s="818"/>
      <c r="F198" s="818"/>
      <c r="G198" s="818"/>
      <c r="H198" s="818"/>
      <c r="I198" s="818"/>
      <c r="J198" s="818"/>
      <c r="K198" s="818"/>
      <c r="L198" s="818"/>
      <c r="M198" s="818"/>
      <c r="N198" s="818"/>
      <c r="O198" s="818"/>
      <c r="P198" s="663"/>
      <c r="Q198" s="663"/>
      <c r="R198" s="818"/>
      <c r="S198" s="818"/>
      <c r="T198" s="818"/>
      <c r="U198" s="818"/>
      <c r="V198" s="818"/>
      <c r="W198" s="818"/>
      <c r="X198" s="818"/>
      <c r="Y198" s="818"/>
      <c r="Z198" s="818"/>
      <c r="AA198" s="818"/>
      <c r="AB198" s="818"/>
      <c r="AC198" s="818"/>
      <c r="AD198" s="818"/>
      <c r="AE198" s="818"/>
      <c r="AF198" s="818"/>
      <c r="AG198" s="818"/>
    </row>
    <row r="199" ht="15" customHeight="1">
      <c r="A199" s="818"/>
      <c r="B199" s="663"/>
      <c r="C199" s="818"/>
      <c r="D199" s="818"/>
      <c r="E199" s="818"/>
      <c r="F199" s="818"/>
      <c r="G199" s="818"/>
      <c r="H199" s="818"/>
      <c r="I199" s="818"/>
      <c r="J199" s="818"/>
      <c r="K199" s="818"/>
      <c r="L199" s="818"/>
      <c r="M199" s="818"/>
      <c r="N199" s="818"/>
      <c r="O199" s="818"/>
      <c r="P199" s="663"/>
      <c r="Q199" s="663"/>
      <c r="R199" s="818"/>
      <c r="S199" s="818"/>
      <c r="T199" s="818"/>
      <c r="U199" s="818"/>
      <c r="V199" s="818"/>
      <c r="W199" s="818"/>
      <c r="X199" s="818"/>
      <c r="Y199" s="818"/>
      <c r="Z199" s="818"/>
      <c r="AA199" s="818"/>
      <c r="AB199" s="818"/>
      <c r="AC199" s="818"/>
      <c r="AD199" s="818"/>
      <c r="AE199" s="818"/>
      <c r="AF199" s="818"/>
      <c r="AG199" s="818"/>
    </row>
    <row r="200" ht="15" customHeight="1">
      <c r="A200" s="818"/>
      <c r="B200" s="663"/>
      <c r="C200" s="818"/>
      <c r="D200" s="818"/>
      <c r="E200" s="818"/>
      <c r="F200" s="818"/>
      <c r="G200" s="818"/>
      <c r="H200" s="818"/>
      <c r="I200" s="818"/>
      <c r="J200" s="818"/>
      <c r="K200" s="818"/>
      <c r="L200" s="818"/>
      <c r="M200" s="818"/>
      <c r="N200" s="818"/>
      <c r="O200" s="818"/>
      <c r="P200" s="663"/>
      <c r="Q200" s="663"/>
      <c r="R200" s="818"/>
      <c r="S200" s="818"/>
      <c r="T200" s="818"/>
      <c r="U200" s="818"/>
      <c r="V200" s="818"/>
      <c r="W200" s="818"/>
      <c r="X200" s="818"/>
      <c r="Y200" s="818"/>
      <c r="Z200" s="818"/>
      <c r="AA200" s="818"/>
      <c r="AB200" s="818"/>
      <c r="AC200" s="818"/>
      <c r="AD200" s="818"/>
      <c r="AE200" s="818"/>
      <c r="AF200" s="818"/>
      <c r="AG200" s="818"/>
    </row>
    <row r="201" ht="15" customHeight="1">
      <c r="A201" s="818"/>
      <c r="B201" s="663"/>
      <c r="C201" s="818"/>
      <c r="D201" s="818"/>
      <c r="E201" s="818"/>
      <c r="F201" s="818"/>
      <c r="G201" s="818"/>
      <c r="H201" s="818"/>
      <c r="I201" s="818"/>
      <c r="J201" s="818"/>
      <c r="K201" s="818"/>
      <c r="L201" s="818"/>
      <c r="M201" s="818"/>
      <c r="N201" s="818"/>
      <c r="O201" s="818"/>
      <c r="P201" s="663"/>
      <c r="Q201" s="663"/>
      <c r="R201" s="818"/>
      <c r="S201" s="818"/>
      <c r="T201" s="818"/>
      <c r="U201" s="818"/>
      <c r="V201" s="818"/>
      <c r="W201" s="818"/>
      <c r="X201" s="818"/>
      <c r="Y201" s="818"/>
      <c r="Z201" s="818"/>
      <c r="AA201" s="818"/>
      <c r="AB201" s="818"/>
      <c r="AC201" s="818"/>
      <c r="AD201" s="818"/>
      <c r="AE201" s="818"/>
      <c r="AF201" s="818"/>
      <c r="AG201" s="818"/>
    </row>
    <row r="202" ht="15" customHeight="1">
      <c r="A202" s="818"/>
      <c r="B202" s="663"/>
      <c r="C202" s="818"/>
      <c r="D202" s="818"/>
      <c r="E202" s="818"/>
      <c r="F202" s="818"/>
      <c r="G202" s="818"/>
      <c r="H202" s="818"/>
      <c r="I202" s="818"/>
      <c r="J202" s="818"/>
      <c r="K202" s="818"/>
      <c r="L202" s="818"/>
      <c r="M202" s="818"/>
      <c r="N202" s="818"/>
      <c r="O202" s="818"/>
      <c r="P202" s="663"/>
      <c r="Q202" s="663"/>
      <c r="R202" s="818"/>
      <c r="S202" s="818"/>
      <c r="T202" s="818"/>
      <c r="U202" s="818"/>
      <c r="V202" s="818"/>
      <c r="W202" s="818"/>
      <c r="X202" s="818"/>
      <c r="Y202" s="818"/>
      <c r="Z202" s="818"/>
      <c r="AA202" s="818"/>
      <c r="AB202" s="818"/>
      <c r="AC202" s="818"/>
      <c r="AD202" s="818"/>
      <c r="AE202" s="818"/>
      <c r="AF202" s="818"/>
      <c r="AG202" s="818"/>
    </row>
    <row r="203" ht="15" customHeight="1">
      <c r="A203" s="818"/>
      <c r="B203" s="663"/>
      <c r="C203" s="818"/>
      <c r="D203" s="818"/>
      <c r="E203" s="818"/>
      <c r="F203" s="818"/>
      <c r="G203" s="818"/>
      <c r="H203" s="818"/>
      <c r="I203" s="818"/>
      <c r="J203" s="818"/>
      <c r="K203" s="818"/>
      <c r="L203" s="818"/>
      <c r="M203" s="818"/>
      <c r="N203" s="818"/>
      <c r="O203" s="818"/>
      <c r="P203" s="663"/>
      <c r="Q203" s="663"/>
      <c r="R203" s="818"/>
      <c r="S203" s="818"/>
      <c r="T203" s="818"/>
      <c r="U203" s="818"/>
      <c r="V203" s="818"/>
      <c r="W203" s="818"/>
      <c r="X203" s="818"/>
      <c r="Y203" s="818"/>
      <c r="Z203" s="818"/>
      <c r="AA203" s="818"/>
      <c r="AB203" s="818"/>
      <c r="AC203" s="818"/>
      <c r="AD203" s="818"/>
      <c r="AE203" s="818"/>
      <c r="AF203" s="818"/>
      <c r="AG203" s="818"/>
    </row>
    <row r="204" ht="15" customHeight="1">
      <c r="A204" s="818"/>
      <c r="B204" s="663"/>
      <c r="C204" s="818"/>
      <c r="D204" s="818"/>
      <c r="E204" s="818"/>
      <c r="F204" s="818"/>
      <c r="G204" s="818"/>
      <c r="H204" s="818"/>
      <c r="I204" s="818"/>
      <c r="J204" s="818"/>
      <c r="K204" s="818"/>
      <c r="L204" s="818"/>
      <c r="M204" s="818"/>
      <c r="N204" s="818"/>
      <c r="O204" s="818"/>
      <c r="P204" s="663"/>
      <c r="Q204" s="663"/>
      <c r="R204" s="818"/>
      <c r="S204" s="818"/>
      <c r="T204" s="818"/>
      <c r="U204" s="818"/>
      <c r="V204" s="818"/>
      <c r="W204" s="818"/>
      <c r="X204" s="818"/>
      <c r="Y204" s="818"/>
      <c r="Z204" s="818"/>
      <c r="AA204" s="818"/>
      <c r="AB204" s="818"/>
      <c r="AC204" s="818"/>
      <c r="AD204" s="818"/>
      <c r="AE204" s="818"/>
      <c r="AF204" s="818"/>
      <c r="AG204" s="818"/>
    </row>
    <row r="205" ht="15" customHeight="1">
      <c r="A205" s="818"/>
      <c r="B205" s="663"/>
      <c r="C205" s="818"/>
      <c r="D205" s="818"/>
      <c r="E205" s="818"/>
      <c r="F205" s="818"/>
      <c r="G205" s="818"/>
      <c r="H205" s="818"/>
      <c r="I205" s="818"/>
      <c r="J205" s="818"/>
      <c r="K205" s="818"/>
      <c r="L205" s="818"/>
      <c r="M205" s="818"/>
      <c r="N205" s="818"/>
      <c r="O205" s="818"/>
      <c r="P205" s="663"/>
      <c r="Q205" s="663"/>
      <c r="R205" s="818"/>
      <c r="S205" s="818"/>
      <c r="T205" s="818"/>
      <c r="U205" s="818"/>
      <c r="V205" s="818"/>
      <c r="W205" s="818"/>
      <c r="X205" s="818"/>
      <c r="Y205" s="818"/>
      <c r="Z205" s="818"/>
      <c r="AA205" s="818"/>
      <c r="AB205" s="818"/>
      <c r="AC205" s="818"/>
      <c r="AD205" s="818"/>
      <c r="AE205" s="818"/>
      <c r="AF205" s="818"/>
      <c r="AG205" s="818"/>
    </row>
    <row r="206" ht="15" customHeight="1">
      <c r="A206" s="818"/>
      <c r="B206" s="663"/>
      <c r="C206" s="818"/>
      <c r="D206" s="818"/>
      <c r="E206" s="818"/>
      <c r="F206" s="818"/>
      <c r="G206" s="818"/>
      <c r="H206" s="818"/>
      <c r="I206" s="818"/>
      <c r="J206" s="818"/>
      <c r="K206" s="818"/>
      <c r="L206" s="818"/>
      <c r="M206" s="818"/>
      <c r="N206" s="818"/>
      <c r="O206" s="818"/>
      <c r="P206" s="663"/>
      <c r="Q206" s="663"/>
      <c r="R206" s="818"/>
      <c r="S206" s="818"/>
      <c r="T206" s="818"/>
      <c r="U206" s="818"/>
      <c r="V206" s="818"/>
      <c r="W206" s="818"/>
      <c r="X206" s="818"/>
      <c r="Y206" s="818"/>
      <c r="Z206" s="818"/>
      <c r="AA206" s="818"/>
      <c r="AB206" s="818"/>
      <c r="AC206" s="818"/>
      <c r="AD206" s="818"/>
      <c r="AE206" s="818"/>
      <c r="AF206" s="818"/>
      <c r="AG206" s="818"/>
    </row>
    <row r="207" ht="15" customHeight="1">
      <c r="A207" s="818"/>
      <c r="B207" s="663"/>
      <c r="C207" s="818"/>
      <c r="D207" s="818"/>
      <c r="E207" s="818"/>
      <c r="F207" s="818"/>
      <c r="G207" s="818"/>
      <c r="H207" s="818"/>
      <c r="I207" s="818"/>
      <c r="J207" s="818"/>
      <c r="K207" s="818"/>
      <c r="L207" s="818"/>
      <c r="M207" s="818"/>
      <c r="N207" s="818"/>
      <c r="O207" s="818"/>
      <c r="P207" s="663"/>
      <c r="Q207" s="663"/>
      <c r="R207" s="818"/>
      <c r="S207" s="818"/>
      <c r="T207" s="818"/>
      <c r="U207" s="818"/>
      <c r="V207" s="818"/>
      <c r="W207" s="818"/>
      <c r="X207" s="818"/>
      <c r="Y207" s="818"/>
      <c r="Z207" s="818"/>
      <c r="AA207" s="818"/>
      <c r="AB207" s="818"/>
      <c r="AC207" s="818"/>
      <c r="AD207" s="818"/>
      <c r="AE207" s="818"/>
      <c r="AF207" s="818"/>
      <c r="AG207" s="818"/>
    </row>
    <row r="208" ht="15" customHeight="1">
      <c r="A208" s="818"/>
      <c r="B208" s="663"/>
      <c r="C208" s="818"/>
      <c r="D208" s="818"/>
      <c r="E208" s="818"/>
      <c r="F208" s="818"/>
      <c r="G208" s="818"/>
      <c r="H208" s="818"/>
      <c r="I208" s="818"/>
      <c r="J208" s="818"/>
      <c r="K208" s="818"/>
      <c r="L208" s="818"/>
      <c r="M208" s="818"/>
      <c r="N208" s="818"/>
      <c r="O208" s="818"/>
      <c r="P208" s="663"/>
      <c r="Q208" s="663"/>
      <c r="R208" s="818"/>
      <c r="S208" s="818"/>
      <c r="T208" s="818"/>
      <c r="U208" s="818"/>
      <c r="V208" s="818"/>
      <c r="W208" s="818"/>
      <c r="X208" s="818"/>
      <c r="Y208" s="818"/>
      <c r="Z208" s="818"/>
      <c r="AA208" s="818"/>
      <c r="AB208" s="818"/>
      <c r="AC208" s="818"/>
      <c r="AD208" s="818"/>
      <c r="AE208" s="818"/>
      <c r="AF208" s="818"/>
      <c r="AG208" s="818"/>
    </row>
    <row r="209" ht="15" customHeight="1">
      <c r="A209" s="818"/>
      <c r="B209" s="663"/>
      <c r="C209" s="818"/>
      <c r="D209" s="818"/>
      <c r="E209" s="818"/>
      <c r="F209" s="818"/>
      <c r="G209" s="818"/>
      <c r="H209" s="818"/>
      <c r="I209" s="818"/>
      <c r="J209" s="818"/>
      <c r="K209" s="818"/>
      <c r="L209" s="818"/>
      <c r="M209" s="818"/>
      <c r="N209" s="818"/>
      <c r="O209" s="818"/>
      <c r="P209" s="663"/>
      <c r="Q209" s="663"/>
      <c r="R209" s="818"/>
      <c r="S209" s="818"/>
      <c r="T209" s="818"/>
      <c r="U209" s="818"/>
      <c r="V209" s="818"/>
      <c r="W209" s="818"/>
      <c r="X209" s="818"/>
      <c r="Y209" s="818"/>
      <c r="Z209" s="818"/>
      <c r="AA209" s="818"/>
      <c r="AB209" s="818"/>
      <c r="AC209" s="818"/>
      <c r="AD209" s="818"/>
      <c r="AE209" s="818"/>
      <c r="AF209" s="818"/>
      <c r="AG209" s="818"/>
    </row>
    <row r="210" ht="15" customHeight="1">
      <c r="A210" s="818"/>
      <c r="B210" s="663"/>
      <c r="C210" s="818"/>
      <c r="D210" s="818"/>
      <c r="E210" s="818"/>
      <c r="F210" s="818"/>
      <c r="G210" s="818"/>
      <c r="H210" s="818"/>
      <c r="I210" s="818"/>
      <c r="J210" s="818"/>
      <c r="K210" s="818"/>
      <c r="L210" s="818"/>
      <c r="M210" s="818"/>
      <c r="N210" s="818"/>
      <c r="O210" s="818"/>
      <c r="P210" s="663"/>
      <c r="Q210" s="663"/>
      <c r="R210" s="818"/>
      <c r="S210" s="818"/>
      <c r="T210" s="818"/>
      <c r="U210" s="818"/>
      <c r="V210" s="818"/>
      <c r="W210" s="818"/>
      <c r="X210" s="818"/>
      <c r="Y210" s="818"/>
      <c r="Z210" s="818"/>
      <c r="AA210" s="818"/>
      <c r="AB210" s="818"/>
      <c r="AC210" s="818"/>
      <c r="AD210" s="818"/>
      <c r="AE210" s="818"/>
      <c r="AF210" s="818"/>
      <c r="AG210" s="818"/>
    </row>
    <row r="211" ht="15" customHeight="1">
      <c r="A211" s="818"/>
      <c r="B211" s="663"/>
      <c r="C211" s="818"/>
      <c r="D211" s="818"/>
      <c r="E211" s="818"/>
      <c r="F211" s="818"/>
      <c r="G211" s="818"/>
      <c r="H211" s="818"/>
      <c r="I211" s="818"/>
      <c r="J211" s="818"/>
      <c r="K211" s="818"/>
      <c r="L211" s="818"/>
      <c r="M211" s="818"/>
      <c r="N211" s="818"/>
      <c r="O211" s="818"/>
      <c r="P211" s="663"/>
      <c r="Q211" s="663"/>
      <c r="R211" s="818"/>
      <c r="S211" s="818"/>
      <c r="T211" s="818"/>
      <c r="U211" s="818"/>
      <c r="V211" s="818"/>
      <c r="W211" s="818"/>
      <c r="X211" s="818"/>
      <c r="Y211" s="818"/>
      <c r="Z211" s="818"/>
      <c r="AA211" s="818"/>
      <c r="AB211" s="818"/>
      <c r="AC211" s="818"/>
      <c r="AD211" s="818"/>
      <c r="AE211" s="818"/>
      <c r="AF211" s="818"/>
      <c r="AG211" s="818"/>
    </row>
    <row r="212" ht="15" customHeight="1">
      <c r="A212" s="818"/>
      <c r="B212" s="663"/>
      <c r="C212" s="818"/>
      <c r="D212" s="818"/>
      <c r="E212" s="818"/>
      <c r="F212" s="818"/>
      <c r="G212" s="818"/>
      <c r="H212" s="818"/>
      <c r="I212" s="818"/>
      <c r="J212" s="818"/>
      <c r="K212" s="818"/>
      <c r="L212" s="818"/>
      <c r="M212" s="818"/>
      <c r="N212" s="818"/>
      <c r="O212" s="818"/>
      <c r="P212" s="663"/>
      <c r="Q212" s="663"/>
      <c r="R212" s="818"/>
      <c r="S212" s="818"/>
      <c r="T212" s="818"/>
      <c r="U212" s="818"/>
      <c r="V212" s="818"/>
      <c r="W212" s="818"/>
      <c r="X212" s="818"/>
      <c r="Y212" s="818"/>
      <c r="Z212" s="818"/>
      <c r="AA212" s="818"/>
      <c r="AB212" s="818"/>
      <c r="AC212" s="818"/>
      <c r="AD212" s="818"/>
      <c r="AE212" s="818"/>
      <c r="AF212" s="818"/>
      <c r="AG212" s="818"/>
    </row>
    <row r="213" ht="15" customHeight="1">
      <c r="A213" s="818"/>
      <c r="B213" s="663"/>
      <c r="C213" s="818"/>
      <c r="D213" s="818"/>
      <c r="E213" s="818"/>
      <c r="F213" s="818"/>
      <c r="G213" s="818"/>
      <c r="H213" s="818"/>
      <c r="I213" s="818"/>
      <c r="J213" s="818"/>
      <c r="K213" s="818"/>
      <c r="L213" s="818"/>
      <c r="M213" s="818"/>
      <c r="N213" s="818"/>
      <c r="O213" s="818"/>
      <c r="P213" s="663"/>
      <c r="Q213" s="663"/>
      <c r="R213" s="818"/>
      <c r="S213" s="818"/>
      <c r="T213" s="818"/>
      <c r="U213" s="818"/>
      <c r="V213" s="818"/>
      <c r="W213" s="818"/>
      <c r="X213" s="818"/>
      <c r="Y213" s="818"/>
      <c r="Z213" s="818"/>
      <c r="AA213" s="818"/>
      <c r="AB213" s="818"/>
      <c r="AC213" s="818"/>
      <c r="AD213" s="818"/>
      <c r="AE213" s="818"/>
      <c r="AF213" s="818"/>
      <c r="AG213" s="818"/>
    </row>
    <row r="214" ht="15" customHeight="1">
      <c r="A214" s="818"/>
      <c r="B214" s="663"/>
      <c r="C214" s="818"/>
      <c r="D214" s="818"/>
      <c r="E214" s="818"/>
      <c r="F214" s="818"/>
      <c r="G214" s="818"/>
      <c r="H214" s="818"/>
      <c r="I214" s="818"/>
      <c r="J214" s="818"/>
      <c r="K214" s="818"/>
      <c r="L214" s="818"/>
      <c r="M214" s="818"/>
      <c r="N214" s="818"/>
      <c r="O214" s="818"/>
      <c r="P214" s="663"/>
      <c r="Q214" s="663"/>
      <c r="R214" s="818"/>
      <c r="S214" s="818"/>
      <c r="T214" s="818"/>
      <c r="U214" s="818"/>
      <c r="V214" s="818"/>
      <c r="W214" s="818"/>
      <c r="X214" s="818"/>
      <c r="Y214" s="818"/>
      <c r="Z214" s="818"/>
      <c r="AA214" s="818"/>
      <c r="AB214" s="818"/>
      <c r="AC214" s="818"/>
      <c r="AD214" s="818"/>
      <c r="AE214" s="818"/>
      <c r="AF214" s="818"/>
      <c r="AG214" s="818"/>
    </row>
    <row r="215" ht="15" customHeight="1">
      <c r="A215" s="818"/>
      <c r="B215" s="663"/>
      <c r="C215" s="818"/>
      <c r="D215" s="818"/>
      <c r="E215" s="818"/>
      <c r="F215" s="818"/>
      <c r="G215" s="818"/>
      <c r="H215" s="818"/>
      <c r="I215" s="818"/>
      <c r="J215" s="818"/>
      <c r="K215" s="818"/>
      <c r="L215" s="818"/>
      <c r="M215" s="818"/>
      <c r="N215" s="818"/>
      <c r="O215" s="818"/>
      <c r="P215" s="663"/>
      <c r="Q215" s="663"/>
      <c r="R215" s="818"/>
      <c r="S215" s="818"/>
      <c r="T215" s="818"/>
      <c r="U215" s="818"/>
      <c r="V215" s="818"/>
      <c r="W215" s="818"/>
      <c r="X215" s="818"/>
      <c r="Y215" s="818"/>
      <c r="Z215" s="818"/>
      <c r="AA215" s="818"/>
      <c r="AB215" s="818"/>
      <c r="AC215" s="818"/>
      <c r="AD215" s="818"/>
      <c r="AE215" s="818"/>
      <c r="AF215" s="818"/>
      <c r="AG215" s="818"/>
    </row>
    <row r="216" ht="15" customHeight="1">
      <c r="A216" s="818"/>
      <c r="B216" s="663"/>
      <c r="C216" s="818"/>
      <c r="D216" s="818"/>
      <c r="E216" s="818"/>
      <c r="F216" s="818"/>
      <c r="G216" s="818"/>
      <c r="H216" s="818"/>
      <c r="I216" s="818"/>
      <c r="J216" s="818"/>
      <c r="K216" s="818"/>
      <c r="L216" s="818"/>
      <c r="M216" s="818"/>
      <c r="N216" s="818"/>
      <c r="O216" s="818"/>
      <c r="P216" s="663"/>
      <c r="Q216" s="663"/>
      <c r="R216" s="818"/>
      <c r="S216" s="818"/>
      <c r="T216" s="818"/>
      <c r="U216" s="818"/>
      <c r="V216" s="818"/>
      <c r="W216" s="818"/>
      <c r="X216" s="818"/>
      <c r="Y216" s="818"/>
      <c r="Z216" s="818"/>
      <c r="AA216" s="818"/>
      <c r="AB216" s="818"/>
      <c r="AC216" s="818"/>
      <c r="AD216" s="818"/>
      <c r="AE216" s="818"/>
      <c r="AF216" s="818"/>
      <c r="AG216" s="818"/>
    </row>
    <row r="217" ht="15" customHeight="1">
      <c r="A217" s="818"/>
      <c r="B217" s="663"/>
      <c r="C217" s="818"/>
      <c r="D217" s="818"/>
      <c r="E217" s="818"/>
      <c r="F217" s="818"/>
      <c r="G217" s="818"/>
      <c r="H217" s="818"/>
      <c r="I217" s="818"/>
      <c r="J217" s="818"/>
      <c r="K217" s="818"/>
      <c r="L217" s="818"/>
      <c r="M217" s="818"/>
      <c r="N217" s="818"/>
      <c r="O217" s="818"/>
      <c r="P217" s="663"/>
      <c r="Q217" s="663"/>
      <c r="R217" s="818"/>
      <c r="S217" s="818"/>
      <c r="T217" s="818"/>
      <c r="U217" s="818"/>
      <c r="V217" s="818"/>
      <c r="W217" s="818"/>
      <c r="X217" s="818"/>
      <c r="Y217" s="818"/>
      <c r="Z217" s="818"/>
      <c r="AA217" s="818"/>
      <c r="AB217" s="818"/>
      <c r="AC217" s="818"/>
      <c r="AD217" s="818"/>
      <c r="AE217" s="818"/>
      <c r="AF217" s="818"/>
      <c r="AG217" s="818"/>
    </row>
    <row r="218" ht="15" customHeight="1">
      <c r="A218" s="818"/>
      <c r="B218" s="663"/>
      <c r="C218" s="818"/>
      <c r="D218" s="818"/>
      <c r="E218" s="818"/>
      <c r="F218" s="818"/>
      <c r="G218" s="818"/>
      <c r="H218" s="818"/>
      <c r="I218" s="818"/>
      <c r="J218" s="818"/>
      <c r="K218" s="818"/>
      <c r="L218" s="818"/>
      <c r="M218" s="818"/>
      <c r="N218" s="818"/>
      <c r="O218" s="818"/>
      <c r="P218" s="663"/>
      <c r="Q218" s="663"/>
      <c r="R218" s="818"/>
      <c r="S218" s="818"/>
      <c r="T218" s="818"/>
      <c r="U218" s="818"/>
      <c r="V218" s="818"/>
      <c r="W218" s="818"/>
      <c r="X218" s="818"/>
      <c r="Y218" s="818"/>
      <c r="Z218" s="818"/>
      <c r="AA218" s="818"/>
      <c r="AB218" s="818"/>
      <c r="AC218" s="818"/>
      <c r="AD218" s="818"/>
      <c r="AE218" s="818"/>
      <c r="AF218" s="818"/>
      <c r="AG218" s="818"/>
    </row>
    <row r="219" ht="15" customHeight="1">
      <c r="A219" s="818"/>
      <c r="B219" s="663"/>
      <c r="C219" s="818"/>
      <c r="D219" s="818"/>
      <c r="E219" s="818"/>
      <c r="F219" s="818"/>
      <c r="G219" s="818"/>
      <c r="H219" s="818"/>
      <c r="I219" s="818"/>
      <c r="J219" s="818"/>
      <c r="K219" s="818"/>
      <c r="L219" s="818"/>
      <c r="M219" s="818"/>
      <c r="N219" s="818"/>
      <c r="O219" s="818"/>
      <c r="P219" s="663"/>
      <c r="Q219" s="663"/>
      <c r="R219" s="818"/>
      <c r="S219" s="818"/>
      <c r="T219" s="818"/>
      <c r="U219" s="818"/>
      <c r="V219" s="818"/>
      <c r="W219" s="818"/>
      <c r="X219" s="818"/>
      <c r="Y219" s="818"/>
      <c r="Z219" s="818"/>
      <c r="AA219" s="818"/>
      <c r="AB219" s="818"/>
      <c r="AC219" s="818"/>
      <c r="AD219" s="818"/>
      <c r="AE219" s="818"/>
      <c r="AF219" s="818"/>
      <c r="AG219" s="818"/>
    </row>
    <row r="220" ht="15" customHeight="1">
      <c r="A220" s="818"/>
      <c r="B220" s="663"/>
      <c r="C220" s="818"/>
      <c r="D220" s="818"/>
      <c r="E220" s="818"/>
      <c r="F220" s="818"/>
      <c r="G220" s="818"/>
      <c r="H220" s="818"/>
      <c r="I220" s="818"/>
      <c r="J220" s="818"/>
      <c r="K220" s="818"/>
      <c r="L220" s="818"/>
      <c r="M220" s="818"/>
      <c r="N220" s="818"/>
      <c r="O220" s="818"/>
      <c r="P220" s="663"/>
      <c r="Q220" s="663"/>
      <c r="R220" s="818"/>
      <c r="S220" s="818"/>
      <c r="T220" s="818"/>
      <c r="U220" s="818"/>
      <c r="V220" s="818"/>
      <c r="W220" s="818"/>
      <c r="X220" s="818"/>
      <c r="Y220" s="818"/>
      <c r="Z220" s="818"/>
      <c r="AA220" s="818"/>
      <c r="AB220" s="818"/>
      <c r="AC220" s="818"/>
      <c r="AD220" s="818"/>
      <c r="AE220" s="818"/>
      <c r="AF220" s="818"/>
      <c r="AG220" s="818"/>
    </row>
    <row r="221" ht="15" customHeight="1">
      <c r="A221" s="818"/>
      <c r="B221" s="663"/>
      <c r="C221" s="818"/>
      <c r="D221" s="818"/>
      <c r="E221" s="818"/>
      <c r="F221" s="818"/>
      <c r="G221" s="818"/>
      <c r="H221" s="818"/>
      <c r="I221" s="818"/>
      <c r="J221" s="818"/>
      <c r="K221" s="818"/>
      <c r="L221" s="818"/>
      <c r="M221" s="818"/>
      <c r="N221" s="818"/>
      <c r="O221" s="818"/>
      <c r="P221" s="663"/>
      <c r="Q221" s="663"/>
      <c r="R221" s="818"/>
      <c r="S221" s="818"/>
      <c r="T221" s="818"/>
      <c r="U221" s="818"/>
      <c r="V221" s="818"/>
      <c r="W221" s="818"/>
      <c r="X221" s="818"/>
      <c r="Y221" s="818"/>
      <c r="Z221" s="818"/>
      <c r="AA221" s="818"/>
      <c r="AB221" s="818"/>
      <c r="AC221" s="818"/>
      <c r="AD221" s="818"/>
      <c r="AE221" s="818"/>
      <c r="AF221" s="818"/>
      <c r="AG221" s="818"/>
    </row>
    <row r="222" ht="15" customHeight="1">
      <c r="A222" s="818"/>
      <c r="B222" s="663"/>
      <c r="C222" s="818"/>
      <c r="D222" s="818"/>
      <c r="E222" s="818"/>
      <c r="F222" s="818"/>
      <c r="G222" s="818"/>
      <c r="H222" s="818"/>
      <c r="I222" s="818"/>
      <c r="J222" s="818"/>
      <c r="K222" s="818"/>
      <c r="L222" s="818"/>
      <c r="M222" s="818"/>
      <c r="N222" s="818"/>
      <c r="O222" s="818"/>
      <c r="P222" s="663"/>
      <c r="Q222" s="663"/>
      <c r="R222" s="818"/>
      <c r="S222" s="818"/>
      <c r="T222" s="818"/>
      <c r="U222" s="818"/>
      <c r="V222" s="818"/>
      <c r="W222" s="818"/>
      <c r="X222" s="818"/>
      <c r="Y222" s="818"/>
      <c r="Z222" s="818"/>
      <c r="AA222" s="818"/>
      <c r="AB222" s="818"/>
      <c r="AC222" s="818"/>
      <c r="AD222" s="818"/>
      <c r="AE222" s="818"/>
      <c r="AF222" s="818"/>
      <c r="AG222" s="818"/>
    </row>
    <row r="223" ht="15" customHeight="1">
      <c r="A223" s="818"/>
      <c r="B223" s="663"/>
      <c r="C223" s="818"/>
      <c r="D223" s="818"/>
      <c r="E223" s="818"/>
      <c r="F223" s="818"/>
      <c r="G223" s="818"/>
      <c r="H223" s="818"/>
      <c r="I223" s="818"/>
      <c r="J223" s="818"/>
      <c r="K223" s="818"/>
      <c r="L223" s="818"/>
      <c r="M223" s="818"/>
      <c r="N223" s="818"/>
      <c r="O223" s="818"/>
      <c r="P223" s="663"/>
      <c r="Q223" s="663"/>
      <c r="R223" s="818"/>
      <c r="S223" s="818"/>
      <c r="T223" s="818"/>
      <c r="U223" s="818"/>
      <c r="V223" s="818"/>
      <c r="W223" s="818"/>
      <c r="X223" s="818"/>
      <c r="Y223" s="818"/>
      <c r="Z223" s="818"/>
      <c r="AA223" s="818"/>
      <c r="AB223" s="818"/>
      <c r="AC223" s="818"/>
      <c r="AD223" s="818"/>
      <c r="AE223" s="818"/>
      <c r="AF223" s="818"/>
      <c r="AG223" s="818"/>
    </row>
    <row r="224" ht="15" customHeight="1">
      <c r="A224" s="818"/>
      <c r="B224" s="663"/>
      <c r="C224" s="818"/>
      <c r="D224" s="818"/>
      <c r="E224" s="818"/>
      <c r="F224" s="818"/>
      <c r="G224" s="818"/>
      <c r="H224" s="818"/>
      <c r="I224" s="818"/>
      <c r="J224" s="818"/>
      <c r="K224" s="818"/>
      <c r="L224" s="818"/>
      <c r="M224" s="818"/>
      <c r="N224" s="818"/>
      <c r="O224" s="818"/>
      <c r="P224" s="663"/>
      <c r="Q224" s="663"/>
      <c r="R224" s="818"/>
      <c r="S224" s="818"/>
      <c r="T224" s="818"/>
      <c r="U224" s="818"/>
      <c r="V224" s="818"/>
      <c r="W224" s="818"/>
      <c r="X224" s="818"/>
      <c r="Y224" s="818"/>
      <c r="Z224" s="818"/>
      <c r="AA224" s="818"/>
      <c r="AB224" s="818"/>
      <c r="AC224" s="818"/>
      <c r="AD224" s="818"/>
      <c r="AE224" s="818"/>
      <c r="AF224" s="818"/>
      <c r="AG224" s="818"/>
    </row>
    <row r="225" ht="15" customHeight="1">
      <c r="A225" s="818"/>
      <c r="B225" s="663"/>
      <c r="C225" s="818"/>
      <c r="D225" s="818"/>
      <c r="E225" s="818"/>
      <c r="F225" s="818"/>
      <c r="G225" s="818"/>
      <c r="H225" s="818"/>
      <c r="I225" s="818"/>
      <c r="J225" s="818"/>
      <c r="K225" s="818"/>
      <c r="L225" s="818"/>
      <c r="M225" s="818"/>
      <c r="N225" s="818"/>
      <c r="O225" s="818"/>
      <c r="P225" s="663"/>
      <c r="Q225" s="663"/>
      <c r="R225" s="818"/>
      <c r="S225" s="818"/>
      <c r="T225" s="818"/>
      <c r="U225" s="818"/>
      <c r="V225" s="818"/>
      <c r="W225" s="818"/>
      <c r="X225" s="818"/>
      <c r="Y225" s="818"/>
      <c r="Z225" s="818"/>
      <c r="AA225" s="818"/>
      <c r="AB225" s="818"/>
      <c r="AC225" s="818"/>
      <c r="AD225" s="818"/>
      <c r="AE225" s="818"/>
      <c r="AF225" s="818"/>
      <c r="AG225" s="818"/>
    </row>
    <row r="226" ht="15" customHeight="1">
      <c r="A226" s="818"/>
      <c r="B226" s="663"/>
      <c r="C226" s="818"/>
      <c r="D226" s="818"/>
      <c r="E226" s="818"/>
      <c r="F226" s="818"/>
      <c r="G226" s="818"/>
      <c r="H226" s="818"/>
      <c r="I226" s="818"/>
      <c r="J226" s="818"/>
      <c r="K226" s="818"/>
      <c r="L226" s="818"/>
      <c r="M226" s="818"/>
      <c r="N226" s="818"/>
      <c r="O226" s="818"/>
      <c r="P226" s="663"/>
      <c r="Q226" s="663"/>
      <c r="R226" s="818"/>
      <c r="S226" s="818"/>
      <c r="T226" s="818"/>
      <c r="U226" s="818"/>
      <c r="V226" s="818"/>
      <c r="W226" s="818"/>
      <c r="X226" s="818"/>
      <c r="Y226" s="818"/>
      <c r="Z226" s="818"/>
      <c r="AA226" s="818"/>
      <c r="AB226" s="818"/>
      <c r="AC226" s="818"/>
      <c r="AD226" s="818"/>
      <c r="AE226" s="818"/>
      <c r="AF226" s="818"/>
      <c r="AG226" s="818"/>
    </row>
    <row r="227" ht="15" customHeight="1">
      <c r="A227" s="818"/>
      <c r="B227" s="663"/>
      <c r="C227" s="818"/>
      <c r="D227" s="818"/>
      <c r="E227" s="818"/>
      <c r="F227" s="818"/>
      <c r="G227" s="818"/>
      <c r="H227" s="818"/>
      <c r="I227" s="818"/>
      <c r="J227" s="818"/>
      <c r="K227" s="818"/>
      <c r="L227" s="818"/>
      <c r="M227" s="818"/>
      <c r="N227" s="818"/>
      <c r="O227" s="818"/>
      <c r="P227" s="663"/>
      <c r="Q227" s="663"/>
      <c r="R227" s="818"/>
      <c r="S227" s="818"/>
      <c r="T227" s="818"/>
      <c r="U227" s="818"/>
      <c r="V227" s="818"/>
      <c r="W227" s="818"/>
      <c r="X227" s="818"/>
      <c r="Y227" s="818"/>
      <c r="Z227" s="818"/>
      <c r="AA227" s="818"/>
      <c r="AB227" s="818"/>
      <c r="AC227" s="818"/>
      <c r="AD227" s="818"/>
      <c r="AE227" s="818"/>
      <c r="AF227" s="818"/>
      <c r="AG227" s="818"/>
    </row>
    <row r="228" ht="15" customHeight="1">
      <c r="A228" s="818"/>
      <c r="B228" s="663"/>
      <c r="C228" s="818"/>
      <c r="D228" s="818"/>
      <c r="E228" s="818"/>
      <c r="F228" s="818"/>
      <c r="G228" s="818"/>
      <c r="H228" s="818"/>
      <c r="I228" s="818"/>
      <c r="J228" s="818"/>
      <c r="K228" s="818"/>
      <c r="L228" s="818"/>
      <c r="M228" s="818"/>
      <c r="N228" s="818"/>
      <c r="O228" s="818"/>
      <c r="P228" s="663"/>
      <c r="Q228" s="663"/>
      <c r="R228" s="818"/>
      <c r="S228" s="818"/>
      <c r="T228" s="818"/>
      <c r="U228" s="818"/>
      <c r="V228" s="818"/>
      <c r="W228" s="818"/>
      <c r="X228" s="818"/>
      <c r="Y228" s="818"/>
      <c r="Z228" s="818"/>
      <c r="AA228" s="818"/>
      <c r="AB228" s="818"/>
      <c r="AC228" s="818"/>
      <c r="AD228" s="818"/>
      <c r="AE228" s="818"/>
      <c r="AF228" s="818"/>
      <c r="AG228" s="818"/>
    </row>
    <row r="229" ht="15" customHeight="1">
      <c r="A229" s="818"/>
      <c r="B229" s="663"/>
      <c r="C229" s="818"/>
      <c r="D229" s="818"/>
      <c r="E229" s="818"/>
      <c r="F229" s="818"/>
      <c r="G229" s="818"/>
      <c r="H229" s="818"/>
      <c r="I229" s="818"/>
      <c r="J229" s="818"/>
      <c r="K229" s="818"/>
      <c r="L229" s="818"/>
      <c r="M229" s="818"/>
      <c r="N229" s="818"/>
      <c r="O229" s="818"/>
      <c r="P229" s="663"/>
      <c r="Q229" s="663"/>
      <c r="R229" s="818"/>
      <c r="S229" s="818"/>
      <c r="T229" s="818"/>
      <c r="U229" s="818"/>
      <c r="V229" s="818"/>
      <c r="W229" s="818"/>
      <c r="X229" s="818"/>
      <c r="Y229" s="818"/>
      <c r="Z229" s="818"/>
      <c r="AA229" s="818"/>
      <c r="AB229" s="818"/>
      <c r="AC229" s="818"/>
      <c r="AD229" s="818"/>
      <c r="AE229" s="818"/>
      <c r="AF229" s="818"/>
      <c r="AG229" s="818"/>
    </row>
    <row r="230" ht="15" customHeight="1">
      <c r="A230" s="818"/>
      <c r="B230" s="663"/>
      <c r="C230" s="818"/>
      <c r="D230" s="818"/>
      <c r="E230" s="818"/>
      <c r="F230" s="818"/>
      <c r="G230" s="818"/>
      <c r="H230" s="818"/>
      <c r="I230" s="818"/>
      <c r="J230" s="818"/>
      <c r="K230" s="818"/>
      <c r="L230" s="818"/>
      <c r="M230" s="818"/>
      <c r="N230" s="818"/>
      <c r="O230" s="818"/>
      <c r="P230" s="663"/>
      <c r="Q230" s="663"/>
      <c r="R230" s="818"/>
      <c r="S230" s="818"/>
      <c r="T230" s="818"/>
      <c r="U230" s="818"/>
      <c r="V230" s="818"/>
      <c r="W230" s="818"/>
      <c r="X230" s="818"/>
      <c r="Y230" s="818"/>
      <c r="Z230" s="818"/>
      <c r="AA230" s="818"/>
      <c r="AB230" s="818"/>
      <c r="AC230" s="818"/>
      <c r="AD230" s="818"/>
      <c r="AE230" s="818"/>
      <c r="AF230" s="818"/>
      <c r="AG230" s="818"/>
    </row>
    <row r="231" ht="15" customHeight="1">
      <c r="A231" s="818"/>
      <c r="B231" s="663"/>
      <c r="C231" s="818"/>
      <c r="D231" s="818"/>
      <c r="E231" s="818"/>
      <c r="F231" s="818"/>
      <c r="G231" s="818"/>
      <c r="H231" s="818"/>
      <c r="I231" s="818"/>
      <c r="J231" s="818"/>
      <c r="K231" s="818"/>
      <c r="L231" s="818"/>
      <c r="M231" s="818"/>
      <c r="N231" s="818"/>
      <c r="O231" s="818"/>
      <c r="P231" s="663"/>
      <c r="Q231" s="663"/>
      <c r="R231" s="818"/>
      <c r="S231" s="818"/>
      <c r="T231" s="818"/>
      <c r="U231" s="818"/>
      <c r="V231" s="818"/>
      <c r="W231" s="818"/>
      <c r="X231" s="818"/>
      <c r="Y231" s="818"/>
      <c r="Z231" s="818"/>
      <c r="AA231" s="818"/>
      <c r="AB231" s="818"/>
      <c r="AC231" s="818"/>
      <c r="AD231" s="818"/>
      <c r="AE231" s="818"/>
      <c r="AF231" s="818"/>
      <c r="AG231" s="818"/>
    </row>
    <row r="232" ht="15" customHeight="1">
      <c r="A232" s="818"/>
      <c r="B232" s="663"/>
      <c r="C232" s="818"/>
      <c r="D232" s="818"/>
      <c r="E232" s="818"/>
      <c r="F232" s="818"/>
      <c r="G232" s="818"/>
      <c r="H232" s="818"/>
      <c r="I232" s="818"/>
      <c r="J232" s="818"/>
      <c r="K232" s="818"/>
      <c r="L232" s="818"/>
      <c r="M232" s="818"/>
      <c r="N232" s="818"/>
      <c r="O232" s="818"/>
      <c r="P232" s="663"/>
      <c r="Q232" s="663"/>
      <c r="R232" s="818"/>
      <c r="S232" s="818"/>
      <c r="T232" s="818"/>
      <c r="U232" s="818"/>
      <c r="V232" s="818"/>
      <c r="W232" s="818"/>
      <c r="X232" s="818"/>
      <c r="Y232" s="818"/>
      <c r="Z232" s="818"/>
      <c r="AA232" s="818"/>
      <c r="AB232" s="818"/>
      <c r="AC232" s="818"/>
      <c r="AD232" s="818"/>
      <c r="AE232" s="818"/>
      <c r="AF232" s="818"/>
      <c r="AG232" s="818"/>
    </row>
    <row r="233" ht="15" customHeight="1">
      <c r="A233" s="818"/>
      <c r="B233" s="663"/>
      <c r="C233" s="818"/>
      <c r="D233" s="818"/>
      <c r="E233" s="818"/>
      <c r="F233" s="818"/>
      <c r="G233" s="818"/>
      <c r="H233" s="818"/>
      <c r="I233" s="818"/>
      <c r="J233" s="818"/>
      <c r="K233" s="818"/>
      <c r="L233" s="818"/>
      <c r="M233" s="818"/>
      <c r="N233" s="818"/>
      <c r="O233" s="818"/>
      <c r="P233" s="663"/>
      <c r="Q233" s="663"/>
      <c r="R233" s="818"/>
      <c r="S233" s="818"/>
      <c r="T233" s="818"/>
      <c r="U233" s="818"/>
      <c r="V233" s="818"/>
      <c r="W233" s="818"/>
      <c r="X233" s="818"/>
      <c r="Y233" s="818"/>
      <c r="Z233" s="818"/>
      <c r="AA233" s="818"/>
      <c r="AB233" s="818"/>
      <c r="AC233" s="818"/>
      <c r="AD233" s="818"/>
      <c r="AE233" s="818"/>
      <c r="AF233" s="818"/>
      <c r="AG233" s="818"/>
    </row>
    <row r="234" ht="15" customHeight="1">
      <c r="A234" s="818"/>
      <c r="B234" s="663"/>
      <c r="C234" s="818"/>
      <c r="D234" s="818"/>
      <c r="E234" s="818"/>
      <c r="F234" s="818"/>
      <c r="G234" s="818"/>
      <c r="H234" s="818"/>
      <c r="I234" s="818"/>
      <c r="J234" s="818"/>
      <c r="K234" s="818"/>
      <c r="L234" s="818"/>
      <c r="M234" s="818"/>
      <c r="N234" s="818"/>
      <c r="O234" s="818"/>
      <c r="P234" s="663"/>
      <c r="Q234" s="663"/>
      <c r="R234" s="818"/>
      <c r="S234" s="818"/>
      <c r="T234" s="818"/>
      <c r="U234" s="818"/>
      <c r="V234" s="818"/>
      <c r="W234" s="818"/>
      <c r="X234" s="818"/>
      <c r="Y234" s="818"/>
      <c r="Z234" s="818"/>
      <c r="AA234" s="818"/>
      <c r="AB234" s="818"/>
      <c r="AC234" s="818"/>
      <c r="AD234" s="818"/>
      <c r="AE234" s="818"/>
      <c r="AF234" s="818"/>
      <c r="AG234" s="818"/>
    </row>
    <row r="235" ht="15" customHeight="1">
      <c r="A235" s="818"/>
      <c r="B235" s="663"/>
      <c r="C235" s="818"/>
      <c r="D235" s="818"/>
      <c r="E235" s="818"/>
      <c r="F235" s="818"/>
      <c r="G235" s="818"/>
      <c r="H235" s="818"/>
      <c r="I235" s="818"/>
      <c r="J235" s="818"/>
      <c r="K235" s="818"/>
      <c r="L235" s="818"/>
      <c r="M235" s="818"/>
      <c r="N235" s="818"/>
      <c r="O235" s="818"/>
      <c r="P235" s="663"/>
      <c r="Q235" s="663"/>
      <c r="R235" s="818"/>
      <c r="S235" s="818"/>
      <c r="T235" s="818"/>
      <c r="U235" s="818"/>
      <c r="V235" s="818"/>
      <c r="W235" s="818"/>
      <c r="X235" s="818"/>
      <c r="Y235" s="818"/>
      <c r="Z235" s="818"/>
      <c r="AA235" s="818"/>
      <c r="AB235" s="818"/>
      <c r="AC235" s="818"/>
      <c r="AD235" s="818"/>
      <c r="AE235" s="818"/>
      <c r="AF235" s="818"/>
      <c r="AG235" s="818"/>
    </row>
    <row r="236" ht="15" customHeight="1">
      <c r="A236" s="818"/>
      <c r="B236" s="663"/>
      <c r="C236" s="818"/>
      <c r="D236" s="818"/>
      <c r="E236" s="818"/>
      <c r="F236" s="818"/>
      <c r="G236" s="818"/>
      <c r="H236" s="818"/>
      <c r="I236" s="818"/>
      <c r="J236" s="818"/>
      <c r="K236" s="818"/>
      <c r="L236" s="818"/>
      <c r="M236" s="818"/>
      <c r="N236" s="818"/>
      <c r="O236" s="818"/>
      <c r="P236" s="663"/>
      <c r="Q236" s="663"/>
      <c r="R236" s="818"/>
      <c r="S236" s="818"/>
      <c r="T236" s="818"/>
      <c r="U236" s="818"/>
      <c r="V236" s="818"/>
      <c r="W236" s="818"/>
      <c r="X236" s="818"/>
      <c r="Y236" s="818"/>
      <c r="Z236" s="818"/>
      <c r="AA236" s="818"/>
      <c r="AB236" s="818"/>
      <c r="AC236" s="818"/>
      <c r="AD236" s="818"/>
      <c r="AE236" s="818"/>
      <c r="AF236" s="818"/>
      <c r="AG236" s="818"/>
    </row>
    <row r="237" ht="15" customHeight="1">
      <c r="A237" s="818"/>
      <c r="B237" s="663"/>
      <c r="C237" s="818"/>
      <c r="D237" s="818"/>
      <c r="E237" s="818"/>
      <c r="F237" s="818"/>
      <c r="G237" s="818"/>
      <c r="H237" s="818"/>
      <c r="I237" s="818"/>
      <c r="J237" s="818"/>
      <c r="K237" s="818"/>
      <c r="L237" s="818"/>
      <c r="M237" s="818"/>
      <c r="N237" s="818"/>
      <c r="O237" s="818"/>
      <c r="P237" s="663"/>
      <c r="Q237" s="663"/>
      <c r="R237" s="818"/>
      <c r="S237" s="818"/>
      <c r="T237" s="818"/>
      <c r="U237" s="818"/>
      <c r="V237" s="818"/>
      <c r="W237" s="818"/>
      <c r="X237" s="818"/>
      <c r="Y237" s="818"/>
      <c r="Z237" s="818"/>
      <c r="AA237" s="818"/>
      <c r="AB237" s="818"/>
      <c r="AC237" s="818"/>
      <c r="AD237" s="818"/>
      <c r="AE237" s="818"/>
      <c r="AF237" s="818"/>
      <c r="AG237" s="818"/>
    </row>
    <row r="238" ht="15" customHeight="1">
      <c r="A238" s="818"/>
      <c r="B238" s="663"/>
      <c r="C238" s="818"/>
      <c r="D238" s="818"/>
      <c r="E238" s="818"/>
      <c r="F238" s="818"/>
      <c r="G238" s="818"/>
      <c r="H238" s="818"/>
      <c r="I238" s="818"/>
      <c r="J238" s="818"/>
      <c r="K238" s="818"/>
      <c r="L238" s="818"/>
      <c r="M238" s="818"/>
      <c r="N238" s="818"/>
      <c r="O238" s="818"/>
      <c r="P238" s="663"/>
      <c r="Q238" s="663"/>
      <c r="R238" s="818"/>
      <c r="S238" s="818"/>
      <c r="T238" s="818"/>
      <c r="U238" s="818"/>
      <c r="V238" s="818"/>
      <c r="W238" s="818"/>
      <c r="X238" s="818"/>
      <c r="Y238" s="818"/>
      <c r="Z238" s="818"/>
      <c r="AA238" s="818"/>
      <c r="AB238" s="818"/>
      <c r="AC238" s="818"/>
      <c r="AD238" s="818"/>
      <c r="AE238" s="818"/>
      <c r="AF238" s="818"/>
      <c r="AG238" s="818"/>
    </row>
    <row r="239" ht="15" customHeight="1">
      <c r="A239" s="818"/>
      <c r="B239" s="663"/>
      <c r="C239" s="818"/>
      <c r="D239" s="818"/>
      <c r="E239" s="818"/>
      <c r="F239" s="818"/>
      <c r="G239" s="818"/>
      <c r="H239" s="818"/>
      <c r="I239" s="818"/>
      <c r="J239" s="818"/>
      <c r="K239" s="818"/>
      <c r="L239" s="818"/>
      <c r="M239" s="818"/>
      <c r="N239" s="818"/>
      <c r="O239" s="818"/>
      <c r="P239" s="663"/>
      <c r="Q239" s="663"/>
      <c r="R239" s="818"/>
      <c r="S239" s="818"/>
      <c r="T239" s="818"/>
      <c r="U239" s="818"/>
      <c r="V239" s="818"/>
      <c r="W239" s="818"/>
      <c r="X239" s="818"/>
      <c r="Y239" s="818"/>
      <c r="Z239" s="818"/>
      <c r="AA239" s="818"/>
      <c r="AB239" s="818"/>
      <c r="AC239" s="818"/>
      <c r="AD239" s="818"/>
      <c r="AE239" s="818"/>
      <c r="AF239" s="818"/>
      <c r="AG239" s="818"/>
    </row>
    <row r="240" ht="15" customHeight="1">
      <c r="A240" s="818"/>
      <c r="B240" s="663"/>
      <c r="C240" s="818"/>
      <c r="D240" s="818"/>
      <c r="E240" s="818"/>
      <c r="F240" s="818"/>
      <c r="G240" s="818"/>
      <c r="H240" s="818"/>
      <c r="I240" s="818"/>
      <c r="J240" s="818"/>
      <c r="K240" s="818"/>
      <c r="L240" s="818"/>
      <c r="M240" s="818"/>
      <c r="N240" s="818"/>
      <c r="O240" s="818"/>
      <c r="P240" s="663"/>
      <c r="Q240" s="663"/>
      <c r="R240" s="818"/>
      <c r="S240" s="818"/>
      <c r="T240" s="818"/>
      <c r="U240" s="818"/>
      <c r="V240" s="818"/>
      <c r="W240" s="818"/>
      <c r="X240" s="818"/>
      <c r="Y240" s="818"/>
      <c r="Z240" s="818"/>
      <c r="AA240" s="818"/>
      <c r="AB240" s="818"/>
      <c r="AC240" s="818"/>
      <c r="AD240" s="818"/>
      <c r="AE240" s="818"/>
      <c r="AF240" s="818"/>
      <c r="AG240" s="818"/>
    </row>
    <row r="241" ht="15" customHeight="1">
      <c r="A241" s="818"/>
      <c r="B241" s="663"/>
      <c r="C241" s="818"/>
      <c r="D241" s="818"/>
      <c r="E241" s="818"/>
      <c r="F241" s="818"/>
      <c r="G241" s="818"/>
      <c r="H241" s="818"/>
      <c r="I241" s="818"/>
      <c r="J241" s="818"/>
      <c r="K241" s="818"/>
      <c r="L241" s="818"/>
      <c r="M241" s="818"/>
      <c r="N241" s="818"/>
      <c r="O241" s="818"/>
      <c r="P241" s="663"/>
      <c r="Q241" s="663"/>
      <c r="R241" s="818"/>
      <c r="S241" s="818"/>
      <c r="T241" s="818"/>
      <c r="U241" s="818"/>
      <c r="V241" s="818"/>
      <c r="W241" s="818"/>
      <c r="X241" s="818"/>
      <c r="Y241" s="818"/>
      <c r="Z241" s="818"/>
      <c r="AA241" s="818"/>
      <c r="AB241" s="818"/>
      <c r="AC241" s="818"/>
      <c r="AD241" s="818"/>
      <c r="AE241" s="818"/>
      <c r="AF241" s="818"/>
      <c r="AG241" s="818"/>
    </row>
    <row r="242" ht="15" customHeight="1">
      <c r="A242" s="818"/>
      <c r="B242" s="663"/>
      <c r="C242" s="818"/>
      <c r="D242" s="818"/>
      <c r="E242" s="818"/>
      <c r="F242" s="818"/>
      <c r="G242" s="818"/>
      <c r="H242" s="818"/>
      <c r="I242" s="818"/>
      <c r="J242" s="818"/>
      <c r="K242" s="818"/>
      <c r="L242" s="818"/>
      <c r="M242" s="818"/>
      <c r="N242" s="818"/>
      <c r="O242" s="818"/>
      <c r="P242" s="663"/>
      <c r="Q242" s="663"/>
      <c r="R242" s="818"/>
      <c r="S242" s="818"/>
      <c r="T242" s="818"/>
      <c r="U242" s="818"/>
      <c r="V242" s="818"/>
      <c r="W242" s="818"/>
      <c r="X242" s="818"/>
      <c r="Y242" s="818"/>
      <c r="Z242" s="818"/>
      <c r="AA242" s="818"/>
      <c r="AB242" s="818"/>
      <c r="AC242" s="818"/>
      <c r="AD242" s="818"/>
      <c r="AE242" s="818"/>
      <c r="AF242" s="818"/>
      <c r="AG242" s="818"/>
    </row>
    <row r="243" ht="15" customHeight="1">
      <c r="A243" s="818"/>
      <c r="B243" s="663"/>
      <c r="C243" s="818"/>
      <c r="D243" s="818"/>
      <c r="E243" s="818"/>
      <c r="F243" s="818"/>
      <c r="G243" s="818"/>
      <c r="H243" s="818"/>
      <c r="I243" s="818"/>
      <c r="J243" s="818"/>
      <c r="K243" s="818"/>
      <c r="L243" s="818"/>
      <c r="M243" s="818"/>
      <c r="N243" s="818"/>
      <c r="O243" s="818"/>
      <c r="P243" s="663"/>
      <c r="Q243" s="663"/>
      <c r="R243" s="818"/>
      <c r="S243" s="818"/>
      <c r="T243" s="818"/>
      <c r="U243" s="818"/>
      <c r="V243" s="818"/>
      <c r="W243" s="818"/>
      <c r="X243" s="818"/>
      <c r="Y243" s="818"/>
      <c r="Z243" s="818"/>
      <c r="AA243" s="818"/>
      <c r="AB243" s="818"/>
      <c r="AC243" s="818"/>
      <c r="AD243" s="818"/>
      <c r="AE243" s="818"/>
      <c r="AF243" s="818"/>
      <c r="AG243" s="818"/>
    </row>
    <row r="244" ht="15" customHeight="1">
      <c r="A244" s="818"/>
      <c r="B244" s="663"/>
      <c r="C244" s="818"/>
      <c r="D244" s="818"/>
      <c r="E244" s="818"/>
      <c r="F244" s="818"/>
      <c r="G244" s="818"/>
      <c r="H244" s="818"/>
      <c r="I244" s="818"/>
      <c r="J244" s="818"/>
      <c r="K244" s="818"/>
      <c r="L244" s="818"/>
      <c r="M244" s="818"/>
      <c r="N244" s="818"/>
      <c r="O244" s="818"/>
      <c r="P244" s="663"/>
      <c r="Q244" s="663"/>
      <c r="R244" s="818"/>
      <c r="S244" s="818"/>
      <c r="T244" s="818"/>
      <c r="U244" s="818"/>
      <c r="V244" s="818"/>
      <c r="W244" s="818"/>
      <c r="X244" s="818"/>
      <c r="Y244" s="818"/>
      <c r="Z244" s="818"/>
      <c r="AA244" s="818"/>
      <c r="AB244" s="818"/>
      <c r="AC244" s="818"/>
      <c r="AD244" s="818"/>
      <c r="AE244" s="818"/>
      <c r="AF244" s="818"/>
      <c r="AG244" s="818"/>
    </row>
    <row r="245" ht="15" customHeight="1">
      <c r="A245" s="818"/>
      <c r="B245" s="663"/>
      <c r="C245" s="818"/>
      <c r="D245" s="818"/>
      <c r="E245" s="818"/>
      <c r="F245" s="818"/>
      <c r="G245" s="818"/>
      <c r="H245" s="818"/>
      <c r="I245" s="818"/>
      <c r="J245" s="818"/>
      <c r="K245" s="818"/>
      <c r="L245" s="818"/>
      <c r="M245" s="818"/>
      <c r="N245" s="818"/>
      <c r="O245" s="818"/>
      <c r="P245" s="663"/>
      <c r="Q245" s="663"/>
      <c r="R245" s="818"/>
      <c r="S245" s="818"/>
      <c r="T245" s="818"/>
      <c r="U245" s="818"/>
      <c r="V245" s="818"/>
      <c r="W245" s="818"/>
      <c r="X245" s="818"/>
      <c r="Y245" s="818"/>
      <c r="Z245" s="818"/>
      <c r="AA245" s="818"/>
      <c r="AB245" s="818"/>
      <c r="AC245" s="818"/>
      <c r="AD245" s="818"/>
      <c r="AE245" s="818"/>
      <c r="AF245" s="818"/>
      <c r="AG245" s="818"/>
    </row>
    <row r="246" ht="15" customHeight="1">
      <c r="A246" s="818"/>
      <c r="B246" s="663"/>
      <c r="C246" s="818"/>
      <c r="D246" s="818"/>
      <c r="E246" s="818"/>
      <c r="F246" s="818"/>
      <c r="G246" s="818"/>
      <c r="H246" s="818"/>
      <c r="I246" s="818"/>
      <c r="J246" s="818"/>
      <c r="K246" s="818"/>
      <c r="L246" s="818"/>
      <c r="M246" s="818"/>
      <c r="N246" s="818"/>
      <c r="O246" s="818"/>
      <c r="P246" s="663"/>
      <c r="Q246" s="663"/>
      <c r="R246" s="818"/>
      <c r="S246" s="818"/>
      <c r="T246" s="818"/>
      <c r="U246" s="818"/>
      <c r="V246" s="818"/>
      <c r="W246" s="818"/>
      <c r="X246" s="818"/>
      <c r="Y246" s="818"/>
      <c r="Z246" s="818"/>
      <c r="AA246" s="818"/>
      <c r="AB246" s="818"/>
      <c r="AC246" s="818"/>
      <c r="AD246" s="818"/>
      <c r="AE246" s="818"/>
      <c r="AF246" s="818"/>
      <c r="AG246" s="818"/>
    </row>
    <row r="247" ht="15" customHeight="1">
      <c r="A247" s="818"/>
      <c r="B247" s="663"/>
      <c r="C247" s="818"/>
      <c r="D247" s="818"/>
      <c r="E247" s="818"/>
      <c r="F247" s="818"/>
      <c r="G247" s="818"/>
      <c r="H247" s="818"/>
      <c r="I247" s="818"/>
      <c r="J247" s="818"/>
      <c r="K247" s="818"/>
      <c r="L247" s="818"/>
      <c r="M247" s="818"/>
      <c r="N247" s="818"/>
      <c r="O247" s="818"/>
      <c r="P247" s="663"/>
      <c r="Q247" s="663"/>
      <c r="R247" s="818"/>
      <c r="S247" s="818"/>
      <c r="T247" s="818"/>
      <c r="U247" s="818"/>
      <c r="V247" s="818"/>
      <c r="W247" s="818"/>
      <c r="X247" s="818"/>
      <c r="Y247" s="818"/>
      <c r="Z247" s="818"/>
      <c r="AA247" s="818"/>
      <c r="AB247" s="818"/>
      <c r="AC247" s="818"/>
      <c r="AD247" s="818"/>
      <c r="AE247" s="818"/>
      <c r="AF247" s="818"/>
      <c r="AG247" s="818"/>
    </row>
    <row r="248" ht="15" customHeight="1">
      <c r="A248" s="818"/>
      <c r="B248" s="663"/>
      <c r="C248" s="818"/>
      <c r="D248" s="818"/>
      <c r="E248" s="818"/>
      <c r="F248" s="818"/>
      <c r="G248" s="818"/>
      <c r="H248" s="818"/>
      <c r="I248" s="818"/>
      <c r="J248" s="818"/>
      <c r="K248" s="818"/>
      <c r="L248" s="818"/>
      <c r="M248" s="818"/>
      <c r="N248" s="818"/>
      <c r="O248" s="818"/>
      <c r="P248" s="663"/>
      <c r="Q248" s="663"/>
      <c r="R248" s="818"/>
      <c r="S248" s="818"/>
      <c r="T248" s="818"/>
      <c r="U248" s="818"/>
      <c r="V248" s="818"/>
      <c r="W248" s="818"/>
      <c r="X248" s="818"/>
      <c r="Y248" s="818"/>
      <c r="Z248" s="818"/>
      <c r="AA248" s="818"/>
      <c r="AB248" s="818"/>
      <c r="AC248" s="818"/>
      <c r="AD248" s="818"/>
      <c r="AE248" s="818"/>
      <c r="AF248" s="818"/>
      <c r="AG248" s="818"/>
    </row>
    <row r="249" ht="15" customHeight="1">
      <c r="A249" s="818"/>
      <c r="B249" s="663"/>
      <c r="C249" s="818"/>
      <c r="D249" s="818"/>
      <c r="E249" s="818"/>
      <c r="F249" s="818"/>
      <c r="G249" s="818"/>
      <c r="H249" s="818"/>
      <c r="I249" s="818"/>
      <c r="J249" s="818"/>
      <c r="K249" s="818"/>
      <c r="L249" s="818"/>
      <c r="M249" s="818"/>
      <c r="N249" s="818"/>
      <c r="O249" s="818"/>
      <c r="P249" s="663"/>
      <c r="Q249" s="663"/>
      <c r="R249" s="818"/>
      <c r="S249" s="818"/>
      <c r="T249" s="818"/>
      <c r="U249" s="818"/>
      <c r="V249" s="818"/>
      <c r="W249" s="818"/>
      <c r="X249" s="818"/>
      <c r="Y249" s="818"/>
      <c r="Z249" s="818"/>
      <c r="AA249" s="818"/>
      <c r="AB249" s="818"/>
      <c r="AC249" s="818"/>
      <c r="AD249" s="818"/>
      <c r="AE249" s="818"/>
      <c r="AF249" s="818"/>
      <c r="AG249" s="818"/>
    </row>
    <row r="250" ht="15" customHeight="1">
      <c r="A250" s="818"/>
      <c r="B250" s="663"/>
      <c r="C250" s="818"/>
      <c r="D250" s="818"/>
      <c r="E250" s="818"/>
      <c r="F250" s="818"/>
      <c r="G250" s="818"/>
      <c r="H250" s="818"/>
      <c r="I250" s="818"/>
      <c r="J250" s="818"/>
      <c r="K250" s="818"/>
      <c r="L250" s="818"/>
      <c r="M250" s="818"/>
      <c r="N250" s="818"/>
      <c r="O250" s="818"/>
      <c r="P250" s="663"/>
      <c r="Q250" s="663"/>
      <c r="R250" s="818"/>
      <c r="S250" s="818"/>
      <c r="T250" s="818"/>
      <c r="U250" s="818"/>
      <c r="V250" s="818"/>
      <c r="W250" s="818"/>
      <c r="X250" s="818"/>
      <c r="Y250" s="818"/>
      <c r="Z250" s="818"/>
      <c r="AA250" s="818"/>
      <c r="AB250" s="818"/>
      <c r="AC250" s="818"/>
      <c r="AD250" s="818"/>
      <c r="AE250" s="818"/>
      <c r="AF250" s="818"/>
      <c r="AG250" s="818"/>
    </row>
    <row r="251" ht="15" customHeight="1">
      <c r="A251" s="818"/>
      <c r="B251" s="663"/>
      <c r="C251" s="818"/>
      <c r="D251" s="818"/>
      <c r="E251" s="818"/>
      <c r="F251" s="818"/>
      <c r="G251" s="818"/>
      <c r="H251" s="818"/>
      <c r="I251" s="818"/>
      <c r="J251" s="818"/>
      <c r="K251" s="818"/>
      <c r="L251" s="818"/>
      <c r="M251" s="818"/>
      <c r="N251" s="818"/>
      <c r="O251" s="818"/>
      <c r="P251" s="663"/>
      <c r="Q251" s="663"/>
      <c r="R251" s="818"/>
      <c r="S251" s="818"/>
      <c r="T251" s="818"/>
      <c r="U251" s="818"/>
      <c r="V251" s="818"/>
      <c r="W251" s="818"/>
      <c r="X251" s="818"/>
      <c r="Y251" s="818"/>
      <c r="Z251" s="818"/>
      <c r="AA251" s="818"/>
      <c r="AB251" s="818"/>
      <c r="AC251" s="818"/>
      <c r="AD251" s="818"/>
      <c r="AE251" s="818"/>
      <c r="AF251" s="818"/>
      <c r="AG251" s="818"/>
    </row>
    <row r="252" ht="15" customHeight="1">
      <c r="A252" s="818"/>
      <c r="B252" s="663"/>
      <c r="C252" s="818"/>
      <c r="D252" s="818"/>
      <c r="E252" s="818"/>
      <c r="F252" s="818"/>
      <c r="G252" s="818"/>
      <c r="H252" s="818"/>
      <c r="I252" s="818"/>
      <c r="J252" s="818"/>
      <c r="K252" s="818"/>
      <c r="L252" s="818"/>
      <c r="M252" s="818"/>
      <c r="N252" s="818"/>
      <c r="O252" s="818"/>
      <c r="P252" s="663"/>
      <c r="Q252" s="663"/>
      <c r="R252" s="818"/>
      <c r="S252" s="818"/>
      <c r="T252" s="818"/>
      <c r="U252" s="818"/>
      <c r="V252" s="818"/>
      <c r="W252" s="818"/>
      <c r="X252" s="818"/>
      <c r="Y252" s="818"/>
      <c r="Z252" s="818"/>
      <c r="AA252" s="818"/>
      <c r="AB252" s="818"/>
      <c r="AC252" s="818"/>
      <c r="AD252" s="818"/>
      <c r="AE252" s="818"/>
      <c r="AF252" s="818"/>
      <c r="AG252" s="818"/>
    </row>
    <row r="253" ht="15" customHeight="1">
      <c r="A253" s="818"/>
      <c r="B253" s="663"/>
      <c r="C253" s="818"/>
      <c r="D253" s="818"/>
      <c r="E253" s="818"/>
      <c r="F253" s="818"/>
      <c r="G253" s="818"/>
      <c r="H253" s="818"/>
      <c r="I253" s="818"/>
      <c r="J253" s="818"/>
      <c r="K253" s="818"/>
      <c r="L253" s="818"/>
      <c r="M253" s="818"/>
      <c r="N253" s="818"/>
      <c r="O253" s="818"/>
      <c r="P253" s="663"/>
      <c r="Q253" s="663"/>
      <c r="R253" s="818"/>
      <c r="S253" s="818"/>
      <c r="T253" s="818"/>
      <c r="U253" s="818"/>
      <c r="V253" s="818"/>
      <c r="W253" s="818"/>
      <c r="X253" s="818"/>
      <c r="Y253" s="818"/>
      <c r="Z253" s="818"/>
      <c r="AA253" s="818"/>
      <c r="AB253" s="818"/>
      <c r="AC253" s="818"/>
      <c r="AD253" s="818"/>
      <c r="AE253" s="818"/>
      <c r="AF253" s="818"/>
      <c r="AG253" s="818"/>
    </row>
    <row r="254" ht="15" customHeight="1">
      <c r="A254" s="818"/>
      <c r="B254" s="663"/>
      <c r="C254" s="818"/>
      <c r="D254" s="818"/>
      <c r="E254" s="818"/>
      <c r="F254" s="818"/>
      <c r="G254" s="818"/>
      <c r="H254" s="818"/>
      <c r="I254" s="818"/>
      <c r="J254" s="818"/>
      <c r="K254" s="818"/>
      <c r="L254" s="818"/>
      <c r="M254" s="818"/>
      <c r="N254" s="818"/>
      <c r="O254" s="818"/>
      <c r="P254" s="663"/>
      <c r="Q254" s="663"/>
      <c r="R254" s="818"/>
      <c r="S254" s="818"/>
      <c r="T254" s="818"/>
      <c r="U254" s="818"/>
      <c r="V254" s="818"/>
      <c r="W254" s="818"/>
      <c r="X254" s="818"/>
      <c r="Y254" s="818"/>
      <c r="Z254" s="818"/>
      <c r="AA254" s="818"/>
      <c r="AB254" s="818"/>
      <c r="AC254" s="818"/>
      <c r="AD254" s="818"/>
      <c r="AE254" s="818"/>
      <c r="AF254" s="818"/>
      <c r="AG254" s="818"/>
    </row>
    <row r="255" ht="15" customHeight="1">
      <c r="A255" s="818"/>
      <c r="B255" s="663"/>
      <c r="C255" s="818"/>
      <c r="D255" s="818"/>
      <c r="E255" s="818"/>
      <c r="F255" s="818"/>
      <c r="G255" s="818"/>
      <c r="H255" s="818"/>
      <c r="I255" s="818"/>
      <c r="J255" s="818"/>
      <c r="K255" s="818"/>
      <c r="L255" s="818"/>
      <c r="M255" s="818"/>
      <c r="N255" s="818"/>
      <c r="O255" s="818"/>
      <c r="P255" s="663"/>
      <c r="Q255" s="663"/>
      <c r="R255" s="818"/>
      <c r="S255" s="818"/>
      <c r="T255" s="818"/>
      <c r="U255" s="818"/>
      <c r="V255" s="818"/>
      <c r="W255" s="818"/>
      <c r="X255" s="818"/>
      <c r="Y255" s="818"/>
      <c r="Z255" s="818"/>
      <c r="AA255" s="818"/>
      <c r="AB255" s="818"/>
      <c r="AC255" s="818"/>
      <c r="AD255" s="818"/>
      <c r="AE255" s="818"/>
      <c r="AF255" s="818"/>
      <c r="AG255" s="818"/>
    </row>
    <row r="256" ht="15" customHeight="1">
      <c r="A256" s="818"/>
      <c r="B256" s="663"/>
      <c r="C256" s="818"/>
      <c r="D256" s="818"/>
      <c r="E256" s="818"/>
      <c r="F256" s="818"/>
      <c r="G256" s="818"/>
      <c r="H256" s="818"/>
      <c r="I256" s="818"/>
      <c r="J256" s="818"/>
      <c r="K256" s="818"/>
      <c r="L256" s="818"/>
      <c r="M256" s="818"/>
      <c r="N256" s="818"/>
      <c r="O256" s="818"/>
      <c r="P256" s="663"/>
      <c r="Q256" s="663"/>
      <c r="R256" s="818"/>
      <c r="S256" s="818"/>
      <c r="T256" s="818"/>
      <c r="U256" s="818"/>
      <c r="V256" s="818"/>
      <c r="W256" s="818"/>
      <c r="X256" s="818"/>
      <c r="Y256" s="818"/>
      <c r="Z256" s="818"/>
      <c r="AA256" s="818"/>
      <c r="AB256" s="818"/>
      <c r="AC256" s="818"/>
      <c r="AD256" s="818"/>
      <c r="AE256" s="818"/>
      <c r="AF256" s="818"/>
      <c r="AG256" s="818"/>
    </row>
    <row r="257" ht="15" customHeight="1">
      <c r="A257" s="818"/>
      <c r="B257" s="663"/>
      <c r="C257" s="818"/>
      <c r="D257" s="818"/>
      <c r="E257" s="818"/>
      <c r="F257" s="818"/>
      <c r="G257" s="818"/>
      <c r="H257" s="818"/>
      <c r="I257" s="818"/>
      <c r="J257" s="818"/>
      <c r="K257" s="818"/>
      <c r="L257" s="818"/>
      <c r="M257" s="818"/>
      <c r="N257" s="818"/>
      <c r="O257" s="818"/>
      <c r="P257" s="663"/>
      <c r="Q257" s="663"/>
      <c r="R257" s="818"/>
      <c r="S257" s="818"/>
      <c r="T257" s="818"/>
      <c r="U257" s="818"/>
      <c r="V257" s="818"/>
      <c r="W257" s="818"/>
      <c r="X257" s="818"/>
      <c r="Y257" s="818"/>
      <c r="Z257" s="818"/>
      <c r="AA257" s="818"/>
      <c r="AB257" s="818"/>
      <c r="AC257" s="818"/>
      <c r="AD257" s="818"/>
      <c r="AE257" s="818"/>
      <c r="AF257" s="818"/>
      <c r="AG257" s="818"/>
    </row>
    <row r="258" ht="15" customHeight="1">
      <c r="A258" s="818"/>
      <c r="B258" s="663"/>
      <c r="C258" s="818"/>
      <c r="D258" s="818"/>
      <c r="E258" s="818"/>
      <c r="F258" s="818"/>
      <c r="G258" s="818"/>
      <c r="H258" s="818"/>
      <c r="I258" s="818"/>
      <c r="J258" s="818"/>
      <c r="K258" s="818"/>
      <c r="L258" s="818"/>
      <c r="M258" s="818"/>
      <c r="N258" s="818"/>
      <c r="O258" s="818"/>
      <c r="P258" s="663"/>
      <c r="Q258" s="663"/>
      <c r="R258" s="818"/>
      <c r="S258" s="818"/>
      <c r="T258" s="818"/>
      <c r="U258" s="818"/>
      <c r="V258" s="818"/>
      <c r="W258" s="818"/>
      <c r="X258" s="818"/>
      <c r="Y258" s="818"/>
      <c r="Z258" s="818"/>
      <c r="AA258" s="818"/>
      <c r="AB258" s="818"/>
      <c r="AC258" s="818"/>
      <c r="AD258" s="818"/>
      <c r="AE258" s="818"/>
      <c r="AF258" s="818"/>
      <c r="AG258" s="818"/>
    </row>
    <row r="259" ht="15" customHeight="1">
      <c r="A259" s="818"/>
      <c r="B259" s="663"/>
      <c r="C259" s="818"/>
      <c r="D259" s="818"/>
      <c r="E259" s="818"/>
      <c r="F259" s="818"/>
      <c r="G259" s="818"/>
      <c r="H259" s="818"/>
      <c r="I259" s="818"/>
      <c r="J259" s="818"/>
      <c r="K259" s="818"/>
      <c r="L259" s="818"/>
      <c r="M259" s="818"/>
      <c r="N259" s="818"/>
      <c r="O259" s="818"/>
      <c r="P259" s="663"/>
      <c r="Q259" s="663"/>
      <c r="R259" s="818"/>
      <c r="S259" s="818"/>
      <c r="T259" s="818"/>
      <c r="U259" s="818"/>
      <c r="V259" s="818"/>
      <c r="W259" s="818"/>
      <c r="X259" s="818"/>
      <c r="Y259" s="818"/>
      <c r="Z259" s="818"/>
      <c r="AA259" s="818"/>
      <c r="AB259" s="818"/>
      <c r="AC259" s="818"/>
      <c r="AD259" s="818"/>
      <c r="AE259" s="818"/>
      <c r="AF259" s="818"/>
      <c r="AG259" s="818"/>
    </row>
    <row r="260" ht="15" customHeight="1">
      <c r="A260" s="818"/>
      <c r="B260" s="663"/>
      <c r="C260" s="818"/>
      <c r="D260" s="818"/>
      <c r="E260" s="818"/>
      <c r="F260" s="818"/>
      <c r="G260" s="818"/>
      <c r="H260" s="818"/>
      <c r="I260" s="818"/>
      <c r="J260" s="818"/>
      <c r="K260" s="818"/>
      <c r="L260" s="818"/>
      <c r="M260" s="818"/>
      <c r="N260" s="818"/>
      <c r="O260" s="818"/>
      <c r="P260" s="663"/>
      <c r="Q260" s="663"/>
      <c r="R260" s="818"/>
      <c r="S260" s="818"/>
      <c r="T260" s="818"/>
      <c r="U260" s="818"/>
      <c r="V260" s="818"/>
      <c r="W260" s="818"/>
      <c r="X260" s="818"/>
      <c r="Y260" s="818"/>
      <c r="Z260" s="818"/>
      <c r="AA260" s="818"/>
      <c r="AB260" s="818"/>
      <c r="AC260" s="818"/>
      <c r="AD260" s="818"/>
      <c r="AE260" s="818"/>
      <c r="AF260" s="818"/>
      <c r="AG260" s="818"/>
    </row>
    <row r="261" ht="15" customHeight="1">
      <c r="A261" s="818"/>
      <c r="B261" s="663"/>
      <c r="C261" s="818"/>
      <c r="D261" s="818"/>
      <c r="E261" s="818"/>
      <c r="F261" s="818"/>
      <c r="G261" s="818"/>
      <c r="H261" s="818"/>
      <c r="I261" s="818"/>
      <c r="J261" s="818"/>
      <c r="K261" s="818"/>
      <c r="L261" s="818"/>
      <c r="M261" s="818"/>
      <c r="N261" s="818"/>
      <c r="O261" s="818"/>
      <c r="P261" s="663"/>
      <c r="Q261" s="663"/>
      <c r="R261" s="818"/>
      <c r="S261" s="818"/>
      <c r="T261" s="818"/>
      <c r="U261" s="818"/>
      <c r="V261" s="818"/>
      <c r="W261" s="818"/>
      <c r="X261" s="818"/>
      <c r="Y261" s="818"/>
      <c r="Z261" s="818"/>
      <c r="AA261" s="818"/>
      <c r="AB261" s="818"/>
      <c r="AC261" s="818"/>
      <c r="AD261" s="818"/>
      <c r="AE261" s="818"/>
      <c r="AF261" s="818"/>
      <c r="AG261" s="818"/>
    </row>
    <row r="262" ht="15" customHeight="1">
      <c r="A262" s="818"/>
      <c r="B262" s="663"/>
      <c r="C262" s="818"/>
      <c r="D262" s="818"/>
      <c r="E262" s="818"/>
      <c r="F262" s="818"/>
      <c r="G262" s="818"/>
      <c r="H262" s="818"/>
      <c r="I262" s="818"/>
      <c r="J262" s="818"/>
      <c r="K262" s="818"/>
      <c r="L262" s="818"/>
      <c r="M262" s="818"/>
      <c r="N262" s="818"/>
      <c r="O262" s="818"/>
      <c r="P262" s="663"/>
      <c r="Q262" s="663"/>
      <c r="R262" s="818"/>
      <c r="S262" s="818"/>
      <c r="T262" s="818"/>
      <c r="U262" s="818"/>
      <c r="V262" s="818"/>
      <c r="W262" s="818"/>
      <c r="X262" s="818"/>
      <c r="Y262" s="818"/>
      <c r="Z262" s="818"/>
      <c r="AA262" s="818"/>
      <c r="AB262" s="818"/>
      <c r="AC262" s="818"/>
      <c r="AD262" s="818"/>
      <c r="AE262" s="818"/>
      <c r="AF262" s="818"/>
      <c r="AG262" s="818"/>
    </row>
    <row r="263" ht="15" customHeight="1">
      <c r="A263" s="818"/>
      <c r="B263" s="663"/>
      <c r="C263" s="818"/>
      <c r="D263" s="818"/>
      <c r="E263" s="818"/>
      <c r="F263" s="818"/>
      <c r="G263" s="818"/>
      <c r="H263" s="818"/>
      <c r="I263" s="818"/>
      <c r="J263" s="818"/>
      <c r="K263" s="818"/>
      <c r="L263" s="818"/>
      <c r="M263" s="818"/>
      <c r="N263" s="818"/>
      <c r="O263" s="818"/>
      <c r="P263" s="663"/>
      <c r="Q263" s="663"/>
      <c r="R263" s="818"/>
      <c r="S263" s="818"/>
      <c r="T263" s="818"/>
      <c r="U263" s="818"/>
      <c r="V263" s="818"/>
      <c r="W263" s="818"/>
      <c r="X263" s="818"/>
      <c r="Y263" s="818"/>
      <c r="Z263" s="818"/>
      <c r="AA263" s="818"/>
      <c r="AB263" s="818"/>
      <c r="AC263" s="818"/>
      <c r="AD263" s="818"/>
      <c r="AE263" s="818"/>
      <c r="AF263" s="818"/>
      <c r="AG263" s="818"/>
    </row>
    <row r="264" ht="15" customHeight="1">
      <c r="A264" s="818"/>
      <c r="B264" s="663"/>
      <c r="C264" s="818"/>
      <c r="D264" s="818"/>
      <c r="E264" s="818"/>
      <c r="F264" s="818"/>
      <c r="G264" s="818"/>
      <c r="H264" s="818"/>
      <c r="I264" s="818"/>
      <c r="J264" s="818"/>
      <c r="K264" s="818"/>
      <c r="L264" s="818"/>
      <c r="M264" s="818"/>
      <c r="N264" s="818"/>
      <c r="O264" s="818"/>
      <c r="P264" s="663"/>
      <c r="Q264" s="663"/>
      <c r="R264" s="818"/>
      <c r="S264" s="818"/>
      <c r="T264" s="818"/>
      <c r="U264" s="818"/>
      <c r="V264" s="818"/>
      <c r="W264" s="818"/>
      <c r="X264" s="818"/>
      <c r="Y264" s="818"/>
      <c r="Z264" s="818"/>
      <c r="AA264" s="818"/>
      <c r="AB264" s="818"/>
      <c r="AC264" s="818"/>
      <c r="AD264" s="818"/>
      <c r="AE264" s="818"/>
      <c r="AF264" s="818"/>
      <c r="AG264" s="818"/>
    </row>
    <row r="265" ht="15" customHeight="1">
      <c r="A265" s="818"/>
      <c r="B265" s="663"/>
      <c r="C265" s="818"/>
      <c r="D265" s="818"/>
      <c r="E265" s="818"/>
      <c r="F265" s="818"/>
      <c r="G265" s="818"/>
      <c r="H265" s="818"/>
      <c r="I265" s="818"/>
      <c r="J265" s="818"/>
      <c r="K265" s="818"/>
      <c r="L265" s="818"/>
      <c r="M265" s="818"/>
      <c r="N265" s="818"/>
      <c r="O265" s="818"/>
      <c r="P265" s="663"/>
      <c r="Q265" s="663"/>
      <c r="R265" s="818"/>
      <c r="S265" s="818"/>
      <c r="T265" s="818"/>
      <c r="U265" s="818"/>
      <c r="V265" s="818"/>
      <c r="W265" s="818"/>
      <c r="X265" s="818"/>
      <c r="Y265" s="818"/>
      <c r="Z265" s="818"/>
      <c r="AA265" s="818"/>
      <c r="AB265" s="818"/>
      <c r="AC265" s="818"/>
      <c r="AD265" s="818"/>
      <c r="AE265" s="818"/>
      <c r="AF265" s="818"/>
      <c r="AG265" s="818"/>
    </row>
    <row r="266" ht="15" customHeight="1">
      <c r="A266" s="818"/>
      <c r="B266" s="663"/>
      <c r="C266" s="818"/>
      <c r="D266" s="818"/>
      <c r="E266" s="818"/>
      <c r="F266" s="818"/>
      <c r="G266" s="818"/>
      <c r="H266" s="818"/>
      <c r="I266" s="818"/>
      <c r="J266" s="818"/>
      <c r="K266" s="818"/>
      <c r="L266" s="818"/>
      <c r="M266" s="818"/>
      <c r="N266" s="818"/>
      <c r="O266" s="818"/>
      <c r="P266" s="663"/>
      <c r="Q266" s="663"/>
      <c r="R266" s="818"/>
      <c r="S266" s="818"/>
      <c r="T266" s="818"/>
      <c r="U266" s="818"/>
      <c r="V266" s="818"/>
      <c r="W266" s="818"/>
      <c r="X266" s="818"/>
      <c r="Y266" s="818"/>
      <c r="Z266" s="818"/>
      <c r="AA266" s="818"/>
      <c r="AB266" s="818"/>
      <c r="AC266" s="818"/>
      <c r="AD266" s="818"/>
      <c r="AE266" s="818"/>
      <c r="AF266" s="818"/>
      <c r="AG266" s="818"/>
    </row>
    <row r="267" ht="15" customHeight="1">
      <c r="A267" s="818"/>
      <c r="B267" s="663"/>
      <c r="C267" s="818"/>
      <c r="D267" s="818"/>
      <c r="E267" s="818"/>
      <c r="F267" s="818"/>
      <c r="G267" s="818"/>
      <c r="H267" s="818"/>
      <c r="I267" s="818"/>
      <c r="J267" s="818"/>
      <c r="K267" s="818"/>
      <c r="L267" s="818"/>
      <c r="M267" s="818"/>
      <c r="N267" s="818"/>
      <c r="O267" s="818"/>
      <c r="P267" s="663"/>
      <c r="Q267" s="663"/>
      <c r="R267" s="818"/>
      <c r="S267" s="818"/>
      <c r="T267" s="818"/>
      <c r="U267" s="818"/>
      <c r="V267" s="818"/>
      <c r="W267" s="818"/>
      <c r="X267" s="818"/>
      <c r="Y267" s="818"/>
      <c r="Z267" s="818"/>
      <c r="AA267" s="818"/>
      <c r="AB267" s="818"/>
      <c r="AC267" s="818"/>
      <c r="AD267" s="818"/>
      <c r="AE267" s="818"/>
      <c r="AF267" s="818"/>
      <c r="AG267" s="818"/>
    </row>
    <row r="268" ht="15" customHeight="1">
      <c r="A268" s="818"/>
      <c r="B268" s="663"/>
      <c r="C268" s="818"/>
      <c r="D268" s="818"/>
      <c r="E268" s="818"/>
      <c r="F268" s="818"/>
      <c r="G268" s="818"/>
      <c r="H268" s="818"/>
      <c r="I268" s="818"/>
      <c r="J268" s="818"/>
      <c r="K268" s="818"/>
      <c r="L268" s="818"/>
      <c r="M268" s="818"/>
      <c r="N268" s="818"/>
      <c r="O268" s="818"/>
      <c r="P268" s="663"/>
      <c r="Q268" s="663"/>
      <c r="R268" s="818"/>
      <c r="S268" s="818"/>
      <c r="T268" s="818"/>
      <c r="U268" s="818"/>
      <c r="V268" s="818"/>
      <c r="W268" s="818"/>
      <c r="X268" s="818"/>
      <c r="Y268" s="818"/>
      <c r="Z268" s="818"/>
      <c r="AA268" s="818"/>
      <c r="AB268" s="818"/>
      <c r="AC268" s="818"/>
      <c r="AD268" s="818"/>
      <c r="AE268" s="818"/>
      <c r="AF268" s="818"/>
      <c r="AG268" s="818"/>
    </row>
    <row r="269" ht="15" customHeight="1">
      <c r="A269" s="818"/>
      <c r="B269" s="663"/>
      <c r="C269" s="818"/>
      <c r="D269" s="818"/>
      <c r="E269" s="818"/>
      <c r="F269" s="818"/>
      <c r="G269" s="818"/>
      <c r="H269" s="818"/>
      <c r="I269" s="818"/>
      <c r="J269" s="818"/>
      <c r="K269" s="818"/>
      <c r="L269" s="818"/>
      <c r="M269" s="818"/>
      <c r="N269" s="818"/>
      <c r="O269" s="818"/>
      <c r="P269" s="663"/>
      <c r="Q269" s="663"/>
      <c r="R269" s="818"/>
      <c r="S269" s="818"/>
      <c r="T269" s="818"/>
      <c r="U269" s="818"/>
      <c r="V269" s="818"/>
      <c r="W269" s="818"/>
      <c r="X269" s="818"/>
      <c r="Y269" s="818"/>
      <c r="Z269" s="818"/>
      <c r="AA269" s="818"/>
      <c r="AB269" s="818"/>
      <c r="AC269" s="818"/>
      <c r="AD269" s="818"/>
      <c r="AE269" s="818"/>
      <c r="AF269" s="818"/>
      <c r="AG269" s="818"/>
    </row>
    <row r="270" ht="15" customHeight="1">
      <c r="A270" s="818"/>
      <c r="B270" s="663"/>
      <c r="C270" s="818"/>
      <c r="D270" s="818"/>
      <c r="E270" s="818"/>
      <c r="F270" s="818"/>
      <c r="G270" s="818"/>
      <c r="H270" s="818"/>
      <c r="I270" s="818"/>
      <c r="J270" s="818"/>
      <c r="K270" s="818"/>
      <c r="L270" s="818"/>
      <c r="M270" s="818"/>
      <c r="N270" s="818"/>
      <c r="O270" s="818"/>
      <c r="P270" s="663"/>
      <c r="Q270" s="663"/>
      <c r="R270" s="818"/>
      <c r="S270" s="818"/>
      <c r="T270" s="818"/>
      <c r="U270" s="818"/>
      <c r="V270" s="818"/>
      <c r="W270" s="818"/>
      <c r="X270" s="818"/>
      <c r="Y270" s="818"/>
      <c r="Z270" s="818"/>
      <c r="AA270" s="818"/>
      <c r="AB270" s="818"/>
      <c r="AC270" s="818"/>
      <c r="AD270" s="818"/>
      <c r="AE270" s="818"/>
      <c r="AF270" s="818"/>
      <c r="AG270" s="818"/>
    </row>
    <row r="271" ht="15" customHeight="1">
      <c r="A271" s="818"/>
      <c r="B271" s="663"/>
      <c r="C271" s="818"/>
      <c r="D271" s="818"/>
      <c r="E271" s="818"/>
      <c r="F271" s="818"/>
      <c r="G271" s="818"/>
      <c r="H271" s="818"/>
      <c r="I271" s="818"/>
      <c r="J271" s="818"/>
      <c r="K271" s="818"/>
      <c r="L271" s="818"/>
      <c r="M271" s="818"/>
      <c r="N271" s="818"/>
      <c r="O271" s="818"/>
      <c r="P271" s="663"/>
      <c r="Q271" s="663"/>
      <c r="R271" s="818"/>
      <c r="S271" s="818"/>
      <c r="T271" s="818"/>
      <c r="U271" s="818"/>
      <c r="V271" s="818"/>
      <c r="W271" s="818"/>
      <c r="X271" s="818"/>
      <c r="Y271" s="818"/>
      <c r="Z271" s="818"/>
      <c r="AA271" s="818"/>
      <c r="AB271" s="818"/>
      <c r="AC271" s="818"/>
      <c r="AD271" s="818"/>
      <c r="AE271" s="818"/>
      <c r="AF271" s="818"/>
      <c r="AG271" s="818"/>
    </row>
    <row r="272" ht="15" customHeight="1">
      <c r="A272" s="818"/>
      <c r="B272" s="663"/>
      <c r="C272" s="818"/>
      <c r="D272" s="818"/>
      <c r="E272" s="818"/>
      <c r="F272" s="818"/>
      <c r="G272" s="818"/>
      <c r="H272" s="818"/>
      <c r="I272" s="818"/>
      <c r="J272" s="818"/>
      <c r="K272" s="818"/>
      <c r="L272" s="818"/>
      <c r="M272" s="818"/>
      <c r="N272" s="818"/>
      <c r="O272" s="818"/>
      <c r="P272" s="663"/>
      <c r="Q272" s="663"/>
      <c r="R272" s="818"/>
      <c r="S272" s="818"/>
      <c r="T272" s="818"/>
      <c r="U272" s="818"/>
      <c r="V272" s="818"/>
      <c r="W272" s="818"/>
      <c r="X272" s="818"/>
      <c r="Y272" s="818"/>
      <c r="Z272" s="818"/>
      <c r="AA272" s="818"/>
      <c r="AB272" s="818"/>
      <c r="AC272" s="818"/>
      <c r="AD272" s="818"/>
      <c r="AE272" s="818"/>
      <c r="AF272" s="818"/>
      <c r="AG272" s="818"/>
    </row>
    <row r="273" ht="15" customHeight="1">
      <c r="A273" s="818"/>
      <c r="B273" s="663"/>
      <c r="C273" s="818"/>
      <c r="D273" s="818"/>
      <c r="E273" s="818"/>
      <c r="F273" s="818"/>
      <c r="G273" s="818"/>
      <c r="H273" s="818"/>
      <c r="I273" s="818"/>
      <c r="J273" s="818"/>
      <c r="K273" s="818"/>
      <c r="L273" s="818"/>
      <c r="M273" s="818"/>
      <c r="N273" s="818"/>
      <c r="O273" s="818"/>
      <c r="P273" s="663"/>
      <c r="Q273" s="663"/>
      <c r="R273" s="818"/>
      <c r="S273" s="818"/>
      <c r="T273" s="818"/>
      <c r="U273" s="818"/>
      <c r="V273" s="818"/>
      <c r="W273" s="818"/>
      <c r="X273" s="818"/>
      <c r="Y273" s="818"/>
      <c r="Z273" s="818"/>
      <c r="AA273" s="818"/>
      <c r="AB273" s="818"/>
      <c r="AC273" s="818"/>
      <c r="AD273" s="818"/>
      <c r="AE273" s="818"/>
      <c r="AF273" s="818"/>
      <c r="AG273" s="818"/>
    </row>
    <row r="274" ht="15" customHeight="1">
      <c r="A274" s="818"/>
      <c r="B274" s="663"/>
      <c r="C274" s="818"/>
      <c r="D274" s="818"/>
      <c r="E274" s="818"/>
      <c r="F274" s="818"/>
      <c r="G274" s="818"/>
      <c r="H274" s="818"/>
      <c r="I274" s="818"/>
      <c r="J274" s="818"/>
      <c r="K274" s="818"/>
      <c r="L274" s="818"/>
      <c r="M274" s="818"/>
      <c r="N274" s="818"/>
      <c r="O274" s="818"/>
      <c r="P274" s="663"/>
      <c r="Q274" s="663"/>
      <c r="R274" s="818"/>
      <c r="S274" s="818"/>
      <c r="T274" s="818"/>
      <c r="U274" s="818"/>
      <c r="V274" s="818"/>
      <c r="W274" s="818"/>
      <c r="X274" s="818"/>
      <c r="Y274" s="818"/>
      <c r="Z274" s="818"/>
      <c r="AA274" s="818"/>
      <c r="AB274" s="818"/>
      <c r="AC274" s="818"/>
      <c r="AD274" s="818"/>
      <c r="AE274" s="818"/>
      <c r="AF274" s="818"/>
      <c r="AG274" s="818"/>
    </row>
    <row r="275" ht="15" customHeight="1">
      <c r="A275" s="818"/>
      <c r="B275" s="663"/>
      <c r="C275" s="818"/>
      <c r="D275" s="818"/>
      <c r="E275" s="818"/>
      <c r="F275" s="818"/>
      <c r="G275" s="818"/>
      <c r="H275" s="818"/>
      <c r="I275" s="818"/>
      <c r="J275" s="818"/>
      <c r="K275" s="818"/>
      <c r="L275" s="818"/>
      <c r="M275" s="818"/>
      <c r="N275" s="818"/>
      <c r="O275" s="818"/>
      <c r="P275" s="663"/>
      <c r="Q275" s="663"/>
      <c r="R275" s="818"/>
      <c r="S275" s="818"/>
      <c r="T275" s="818"/>
      <c r="U275" s="818"/>
      <c r="V275" s="818"/>
      <c r="W275" s="818"/>
      <c r="X275" s="818"/>
      <c r="Y275" s="818"/>
      <c r="Z275" s="818"/>
      <c r="AA275" s="818"/>
      <c r="AB275" s="818"/>
      <c r="AC275" s="818"/>
      <c r="AD275" s="818"/>
      <c r="AE275" s="818"/>
      <c r="AF275" s="818"/>
      <c r="AG275" s="818"/>
    </row>
    <row r="276" ht="15" customHeight="1">
      <c r="A276" s="818"/>
      <c r="B276" s="663"/>
      <c r="C276" s="818"/>
      <c r="D276" s="818"/>
      <c r="E276" s="818"/>
      <c r="F276" s="818"/>
      <c r="G276" s="818"/>
      <c r="H276" s="818"/>
      <c r="I276" s="818"/>
      <c r="J276" s="818"/>
      <c r="K276" s="818"/>
      <c r="L276" s="818"/>
      <c r="M276" s="818"/>
      <c r="N276" s="818"/>
      <c r="O276" s="818"/>
      <c r="P276" s="663"/>
      <c r="Q276" s="663"/>
      <c r="R276" s="818"/>
      <c r="S276" s="818"/>
      <c r="T276" s="818"/>
      <c r="U276" s="818"/>
      <c r="V276" s="818"/>
      <c r="W276" s="818"/>
      <c r="X276" s="818"/>
      <c r="Y276" s="818"/>
      <c r="Z276" s="818"/>
      <c r="AA276" s="818"/>
      <c r="AB276" s="818"/>
      <c r="AC276" s="818"/>
      <c r="AD276" s="818"/>
      <c r="AE276" s="818"/>
      <c r="AF276" s="818"/>
      <c r="AG276" s="818"/>
    </row>
    <row r="277" ht="15" customHeight="1">
      <c r="A277" s="818"/>
      <c r="B277" s="663"/>
      <c r="C277" s="818"/>
      <c r="D277" s="818"/>
      <c r="E277" s="818"/>
      <c r="F277" s="818"/>
      <c r="G277" s="818"/>
      <c r="H277" s="818"/>
      <c r="I277" s="818"/>
      <c r="J277" s="818"/>
      <c r="K277" s="818"/>
      <c r="L277" s="818"/>
      <c r="M277" s="818"/>
      <c r="N277" s="818"/>
      <c r="O277" s="818"/>
      <c r="P277" s="663"/>
      <c r="Q277" s="663"/>
      <c r="R277" s="818"/>
      <c r="S277" s="818"/>
      <c r="T277" s="818"/>
      <c r="U277" s="818"/>
      <c r="V277" s="818"/>
      <c r="W277" s="818"/>
      <c r="X277" s="818"/>
      <c r="Y277" s="818"/>
      <c r="Z277" s="818"/>
      <c r="AA277" s="818"/>
      <c r="AB277" s="818"/>
      <c r="AC277" s="818"/>
      <c r="AD277" s="818"/>
      <c r="AE277" s="818"/>
      <c r="AF277" s="818"/>
      <c r="AG277" s="818"/>
    </row>
    <row r="278" ht="15" customHeight="1">
      <c r="A278" s="818"/>
      <c r="B278" s="663"/>
      <c r="C278" s="818"/>
      <c r="D278" s="818"/>
      <c r="E278" s="818"/>
      <c r="F278" s="818"/>
      <c r="G278" s="818"/>
      <c r="H278" s="818"/>
      <c r="I278" s="818"/>
      <c r="J278" s="818"/>
      <c r="K278" s="818"/>
      <c r="L278" s="818"/>
      <c r="M278" s="818"/>
      <c r="N278" s="818"/>
      <c r="O278" s="818"/>
      <c r="P278" s="663"/>
      <c r="Q278" s="663"/>
      <c r="R278" s="818"/>
      <c r="S278" s="818"/>
      <c r="T278" s="818"/>
      <c r="U278" s="818"/>
      <c r="V278" s="818"/>
      <c r="W278" s="818"/>
      <c r="X278" s="818"/>
      <c r="Y278" s="818"/>
      <c r="Z278" s="818"/>
      <c r="AA278" s="818"/>
      <c r="AB278" s="818"/>
      <c r="AC278" s="818"/>
      <c r="AD278" s="818"/>
      <c r="AE278" s="818"/>
      <c r="AF278" s="818"/>
      <c r="AG278" s="818"/>
    </row>
    <row r="279" ht="15" customHeight="1">
      <c r="A279" s="818"/>
      <c r="B279" s="663"/>
      <c r="C279" s="818"/>
      <c r="D279" s="818"/>
      <c r="E279" s="818"/>
      <c r="F279" s="818"/>
      <c r="G279" s="818"/>
      <c r="H279" s="818"/>
      <c r="I279" s="818"/>
      <c r="J279" s="818"/>
      <c r="K279" s="818"/>
      <c r="L279" s="818"/>
      <c r="M279" s="818"/>
      <c r="N279" s="818"/>
      <c r="O279" s="818"/>
      <c r="P279" s="663"/>
      <c r="Q279" s="663"/>
      <c r="R279" s="818"/>
      <c r="S279" s="818"/>
      <c r="T279" s="818"/>
      <c r="U279" s="818"/>
      <c r="V279" s="818"/>
      <c r="W279" s="818"/>
      <c r="X279" s="818"/>
      <c r="Y279" s="818"/>
      <c r="Z279" s="818"/>
      <c r="AA279" s="818"/>
      <c r="AB279" s="818"/>
      <c r="AC279" s="818"/>
      <c r="AD279" s="818"/>
      <c r="AE279" s="818"/>
      <c r="AF279" s="818"/>
      <c r="AG279" s="818"/>
    </row>
    <row r="280" ht="15" customHeight="1">
      <c r="A280" s="818"/>
      <c r="B280" s="663"/>
      <c r="C280" s="818"/>
      <c r="D280" s="818"/>
      <c r="E280" s="818"/>
      <c r="F280" s="818"/>
      <c r="G280" s="818"/>
      <c r="H280" s="818"/>
      <c r="I280" s="818"/>
      <c r="J280" s="818"/>
      <c r="K280" s="818"/>
      <c r="L280" s="818"/>
      <c r="M280" s="818"/>
      <c r="N280" s="818"/>
      <c r="O280" s="818"/>
      <c r="P280" s="663"/>
      <c r="Q280" s="663"/>
      <c r="R280" s="818"/>
      <c r="S280" s="818"/>
      <c r="T280" s="818"/>
      <c r="U280" s="818"/>
      <c r="V280" s="818"/>
      <c r="W280" s="818"/>
      <c r="X280" s="818"/>
      <c r="Y280" s="818"/>
      <c r="Z280" s="818"/>
      <c r="AA280" s="818"/>
      <c r="AB280" s="818"/>
      <c r="AC280" s="818"/>
      <c r="AD280" s="818"/>
      <c r="AE280" s="818"/>
      <c r="AF280" s="818"/>
      <c r="AG280" s="818"/>
    </row>
    <row r="281" ht="15" customHeight="1">
      <c r="A281" s="818"/>
      <c r="B281" s="663"/>
      <c r="C281" s="818"/>
      <c r="D281" s="818"/>
      <c r="E281" s="818"/>
      <c r="F281" s="818"/>
      <c r="G281" s="818"/>
      <c r="H281" s="818"/>
      <c r="I281" s="818"/>
      <c r="J281" s="818"/>
      <c r="K281" s="818"/>
      <c r="L281" s="818"/>
      <c r="M281" s="818"/>
      <c r="N281" s="818"/>
      <c r="O281" s="818"/>
      <c r="P281" s="663"/>
      <c r="Q281" s="663"/>
      <c r="R281" s="818"/>
      <c r="S281" s="818"/>
      <c r="T281" s="818"/>
      <c r="U281" s="818"/>
      <c r="V281" s="818"/>
      <c r="W281" s="818"/>
      <c r="X281" s="818"/>
      <c r="Y281" s="818"/>
      <c r="Z281" s="818"/>
      <c r="AA281" s="818"/>
      <c r="AB281" s="818"/>
      <c r="AC281" s="818"/>
      <c r="AD281" s="818"/>
      <c r="AE281" s="818"/>
      <c r="AF281" s="818"/>
      <c r="AG281" s="818"/>
    </row>
    <row r="282" ht="15" customHeight="1">
      <c r="A282" s="818"/>
      <c r="B282" s="663"/>
      <c r="C282" s="818"/>
      <c r="D282" s="818"/>
      <c r="E282" s="818"/>
      <c r="F282" s="818"/>
      <c r="G282" s="818"/>
      <c r="H282" s="818"/>
      <c r="I282" s="818"/>
      <c r="J282" s="818"/>
      <c r="K282" s="818"/>
      <c r="L282" s="818"/>
      <c r="M282" s="818"/>
      <c r="N282" s="818"/>
      <c r="O282" s="818"/>
      <c r="P282" s="663"/>
      <c r="Q282" s="663"/>
      <c r="R282" s="818"/>
      <c r="S282" s="818"/>
      <c r="T282" s="818"/>
      <c r="U282" s="818"/>
      <c r="V282" s="818"/>
      <c r="W282" s="818"/>
      <c r="X282" s="818"/>
      <c r="Y282" s="818"/>
      <c r="Z282" s="818"/>
      <c r="AA282" s="818"/>
      <c r="AB282" s="818"/>
      <c r="AC282" s="818"/>
      <c r="AD282" s="818"/>
      <c r="AE282" s="818"/>
      <c r="AF282" s="818"/>
      <c r="AG282" s="818"/>
    </row>
    <row r="283" ht="15" customHeight="1">
      <c r="A283" s="818"/>
      <c r="B283" s="663"/>
      <c r="C283" s="818"/>
      <c r="D283" s="818"/>
      <c r="E283" s="818"/>
      <c r="F283" s="818"/>
      <c r="G283" s="818"/>
      <c r="H283" s="818"/>
      <c r="I283" s="818"/>
      <c r="J283" s="818"/>
      <c r="K283" s="818"/>
      <c r="L283" s="818"/>
      <c r="M283" s="818"/>
      <c r="N283" s="818"/>
      <c r="O283" s="818"/>
      <c r="P283" s="663"/>
      <c r="Q283" s="663"/>
      <c r="R283" s="818"/>
      <c r="S283" s="818"/>
      <c r="T283" s="818"/>
      <c r="U283" s="818"/>
      <c r="V283" s="818"/>
      <c r="W283" s="818"/>
      <c r="X283" s="818"/>
      <c r="Y283" s="818"/>
      <c r="Z283" s="818"/>
      <c r="AA283" s="818"/>
      <c r="AB283" s="818"/>
      <c r="AC283" s="818"/>
      <c r="AD283" s="818"/>
      <c r="AE283" s="818"/>
      <c r="AF283" s="818"/>
      <c r="AG283" s="818"/>
    </row>
    <row r="284" ht="15" customHeight="1">
      <c r="A284" s="818"/>
      <c r="B284" s="663"/>
      <c r="C284" s="818"/>
      <c r="D284" s="818"/>
      <c r="E284" s="818"/>
      <c r="F284" s="818"/>
      <c r="G284" s="818"/>
      <c r="H284" s="818"/>
      <c r="I284" s="818"/>
      <c r="J284" s="818"/>
      <c r="K284" s="818"/>
      <c r="L284" s="818"/>
      <c r="M284" s="818"/>
      <c r="N284" s="818"/>
      <c r="O284" s="818"/>
      <c r="P284" s="663"/>
      <c r="Q284" s="663"/>
      <c r="R284" s="818"/>
      <c r="S284" s="818"/>
      <c r="T284" s="818"/>
      <c r="U284" s="818"/>
      <c r="V284" s="818"/>
      <c r="W284" s="818"/>
      <c r="X284" s="818"/>
      <c r="Y284" s="818"/>
      <c r="Z284" s="818"/>
      <c r="AA284" s="818"/>
      <c r="AB284" s="818"/>
      <c r="AC284" s="818"/>
      <c r="AD284" s="818"/>
      <c r="AE284" s="818"/>
      <c r="AF284" s="818"/>
      <c r="AG284" s="818"/>
    </row>
    <row r="285" ht="15" customHeight="1">
      <c r="A285" s="818"/>
      <c r="B285" s="663"/>
      <c r="C285" s="818"/>
      <c r="D285" s="818"/>
      <c r="E285" s="818"/>
      <c r="F285" s="818"/>
      <c r="G285" s="818"/>
      <c r="H285" s="818"/>
      <c r="I285" s="818"/>
      <c r="J285" s="818"/>
      <c r="K285" s="818"/>
      <c r="L285" s="818"/>
      <c r="M285" s="818"/>
      <c r="N285" s="818"/>
      <c r="O285" s="818"/>
      <c r="P285" s="663"/>
      <c r="Q285" s="663"/>
      <c r="R285" s="818"/>
      <c r="S285" s="818"/>
      <c r="T285" s="818"/>
      <c r="U285" s="818"/>
      <c r="V285" s="818"/>
      <c r="W285" s="818"/>
      <c r="X285" s="818"/>
      <c r="Y285" s="818"/>
      <c r="Z285" s="818"/>
      <c r="AA285" s="818"/>
      <c r="AB285" s="818"/>
      <c r="AC285" s="818"/>
      <c r="AD285" s="818"/>
      <c r="AE285" s="818"/>
      <c r="AF285" s="818"/>
      <c r="AG285" s="818"/>
    </row>
    <row r="286" ht="15" customHeight="1">
      <c r="A286" s="818"/>
      <c r="B286" s="663"/>
      <c r="C286" s="818"/>
      <c r="D286" s="818"/>
      <c r="E286" s="818"/>
      <c r="F286" s="818"/>
      <c r="G286" s="818"/>
      <c r="H286" s="818"/>
      <c r="I286" s="818"/>
      <c r="J286" s="818"/>
      <c r="K286" s="818"/>
      <c r="L286" s="818"/>
      <c r="M286" s="818"/>
      <c r="N286" s="818"/>
      <c r="O286" s="818"/>
      <c r="P286" s="663"/>
      <c r="Q286" s="663"/>
      <c r="R286" s="818"/>
      <c r="S286" s="818"/>
      <c r="T286" s="818"/>
      <c r="U286" s="818"/>
      <c r="V286" s="818"/>
      <c r="W286" s="818"/>
      <c r="X286" s="818"/>
      <c r="Y286" s="818"/>
      <c r="Z286" s="818"/>
      <c r="AA286" s="818"/>
      <c r="AB286" s="818"/>
      <c r="AC286" s="818"/>
      <c r="AD286" s="818"/>
      <c r="AE286" s="818"/>
      <c r="AF286" s="818"/>
      <c r="AG286" s="818"/>
    </row>
    <row r="287" ht="15" customHeight="1">
      <c r="A287" s="818"/>
      <c r="B287" s="663"/>
      <c r="C287" s="818"/>
      <c r="D287" s="818"/>
      <c r="E287" s="818"/>
      <c r="F287" s="818"/>
      <c r="G287" s="818"/>
      <c r="H287" s="818"/>
      <c r="I287" s="818"/>
      <c r="J287" s="818"/>
      <c r="K287" s="818"/>
      <c r="L287" s="818"/>
      <c r="M287" s="818"/>
      <c r="N287" s="818"/>
      <c r="O287" s="818"/>
      <c r="P287" s="663"/>
      <c r="Q287" s="663"/>
      <c r="R287" s="818"/>
      <c r="S287" s="818"/>
      <c r="T287" s="818"/>
      <c r="U287" s="818"/>
      <c r="V287" s="818"/>
      <c r="W287" s="818"/>
      <c r="X287" s="818"/>
      <c r="Y287" s="818"/>
      <c r="Z287" s="818"/>
      <c r="AA287" s="818"/>
      <c r="AB287" s="818"/>
      <c r="AC287" s="818"/>
      <c r="AD287" s="818"/>
      <c r="AE287" s="818"/>
      <c r="AF287" s="818"/>
      <c r="AG287" s="818"/>
    </row>
    <row r="288" ht="15" customHeight="1">
      <c r="A288" s="818"/>
      <c r="B288" s="663"/>
      <c r="C288" s="818"/>
      <c r="D288" s="818"/>
      <c r="E288" s="818"/>
      <c r="F288" s="818"/>
      <c r="G288" s="818"/>
      <c r="H288" s="818"/>
      <c r="I288" s="818"/>
      <c r="J288" s="818"/>
      <c r="K288" s="818"/>
      <c r="L288" s="818"/>
      <c r="M288" s="818"/>
      <c r="N288" s="818"/>
      <c r="O288" s="818"/>
      <c r="P288" s="663"/>
      <c r="Q288" s="663"/>
      <c r="R288" s="818"/>
      <c r="S288" s="818"/>
      <c r="T288" s="818"/>
      <c r="U288" s="818"/>
      <c r="V288" s="818"/>
      <c r="W288" s="818"/>
      <c r="X288" s="818"/>
      <c r="Y288" s="818"/>
      <c r="Z288" s="818"/>
      <c r="AA288" s="818"/>
      <c r="AB288" s="818"/>
      <c r="AC288" s="818"/>
      <c r="AD288" s="818"/>
      <c r="AE288" s="818"/>
      <c r="AF288" s="818"/>
      <c r="AG288" s="818"/>
    </row>
    <row r="289" ht="15" customHeight="1">
      <c r="A289" s="818"/>
      <c r="B289" s="663"/>
      <c r="C289" s="818"/>
      <c r="D289" s="818"/>
      <c r="E289" s="818"/>
      <c r="F289" s="818"/>
      <c r="G289" s="818"/>
      <c r="H289" s="818"/>
      <c r="I289" s="818"/>
      <c r="J289" s="818"/>
      <c r="K289" s="818"/>
      <c r="L289" s="818"/>
      <c r="M289" s="818"/>
      <c r="N289" s="818"/>
      <c r="O289" s="818"/>
      <c r="P289" s="663"/>
      <c r="Q289" s="663"/>
      <c r="R289" s="818"/>
      <c r="S289" s="818"/>
      <c r="T289" s="818"/>
      <c r="U289" s="818"/>
      <c r="V289" s="818"/>
      <c r="W289" s="818"/>
      <c r="X289" s="818"/>
      <c r="Y289" s="818"/>
      <c r="Z289" s="818"/>
      <c r="AA289" s="818"/>
      <c r="AB289" s="818"/>
      <c r="AC289" s="818"/>
      <c r="AD289" s="818"/>
      <c r="AE289" s="818"/>
      <c r="AF289" s="818"/>
      <c r="AG289" s="818"/>
    </row>
    <row r="290" ht="15" customHeight="1">
      <c r="A290" s="818"/>
      <c r="B290" s="663"/>
      <c r="C290" s="818"/>
      <c r="D290" s="818"/>
      <c r="E290" s="818"/>
      <c r="F290" s="818"/>
      <c r="G290" s="818"/>
      <c r="H290" s="818"/>
      <c r="I290" s="818"/>
      <c r="J290" s="818"/>
      <c r="K290" s="818"/>
      <c r="L290" s="818"/>
      <c r="M290" s="818"/>
      <c r="N290" s="818"/>
      <c r="O290" s="818"/>
      <c r="P290" s="663"/>
      <c r="Q290" s="663"/>
      <c r="R290" s="818"/>
      <c r="S290" s="818"/>
      <c r="T290" s="818"/>
      <c r="U290" s="818"/>
      <c r="V290" s="818"/>
      <c r="W290" s="818"/>
      <c r="X290" s="818"/>
      <c r="Y290" s="818"/>
      <c r="Z290" s="818"/>
      <c r="AA290" s="818"/>
      <c r="AB290" s="818"/>
      <c r="AC290" s="818"/>
      <c r="AD290" s="818"/>
      <c r="AE290" s="818"/>
      <c r="AF290" s="818"/>
      <c r="AG290" s="818"/>
    </row>
    <row r="291" ht="15" customHeight="1">
      <c r="A291" s="818"/>
      <c r="B291" s="663"/>
      <c r="C291" s="818"/>
      <c r="D291" s="818"/>
      <c r="E291" s="818"/>
      <c r="F291" s="818"/>
      <c r="G291" s="818"/>
      <c r="H291" s="818"/>
      <c r="I291" s="818"/>
      <c r="J291" s="818"/>
      <c r="K291" s="818"/>
      <c r="L291" s="818"/>
      <c r="M291" s="818"/>
      <c r="N291" s="818"/>
      <c r="O291" s="818"/>
      <c r="P291" s="663"/>
      <c r="Q291" s="663"/>
      <c r="R291" s="818"/>
      <c r="S291" s="818"/>
      <c r="T291" s="818"/>
      <c r="U291" s="818"/>
      <c r="V291" s="818"/>
      <c r="W291" s="818"/>
      <c r="X291" s="818"/>
      <c r="Y291" s="818"/>
      <c r="Z291" s="818"/>
      <c r="AA291" s="818"/>
      <c r="AB291" s="818"/>
      <c r="AC291" s="818"/>
      <c r="AD291" s="818"/>
      <c r="AE291" s="818"/>
      <c r="AF291" s="818"/>
      <c r="AG291" s="818"/>
    </row>
    <row r="292" ht="15" customHeight="1">
      <c r="A292" s="818"/>
      <c r="B292" s="663"/>
      <c r="C292" s="818"/>
      <c r="D292" s="818"/>
      <c r="E292" s="818"/>
      <c r="F292" s="818"/>
      <c r="G292" s="818"/>
      <c r="H292" s="818"/>
      <c r="I292" s="818"/>
      <c r="J292" s="818"/>
      <c r="K292" s="818"/>
      <c r="L292" s="818"/>
      <c r="M292" s="818"/>
      <c r="N292" s="818"/>
      <c r="O292" s="818"/>
      <c r="P292" s="663"/>
      <c r="Q292" s="663"/>
      <c r="R292" s="818"/>
      <c r="S292" s="818"/>
      <c r="T292" s="818"/>
      <c r="U292" s="818"/>
      <c r="V292" s="818"/>
      <c r="W292" s="818"/>
      <c r="X292" s="818"/>
      <c r="Y292" s="818"/>
      <c r="Z292" s="818"/>
      <c r="AA292" s="818"/>
      <c r="AB292" s="818"/>
      <c r="AC292" s="818"/>
      <c r="AD292" s="818"/>
      <c r="AE292" s="818"/>
      <c r="AF292" s="818"/>
      <c r="AG292" s="818"/>
    </row>
    <row r="293" ht="15" customHeight="1">
      <c r="A293" s="818"/>
      <c r="B293" s="663"/>
      <c r="C293" s="818"/>
      <c r="D293" s="818"/>
      <c r="E293" s="818"/>
      <c r="F293" s="818"/>
      <c r="G293" s="818"/>
      <c r="H293" s="818"/>
      <c r="I293" s="818"/>
      <c r="J293" s="818"/>
      <c r="K293" s="818"/>
      <c r="L293" s="818"/>
      <c r="M293" s="818"/>
      <c r="N293" s="818"/>
      <c r="O293" s="818"/>
      <c r="P293" s="663"/>
      <c r="Q293" s="663"/>
      <c r="R293" s="818"/>
      <c r="S293" s="818"/>
      <c r="T293" s="818"/>
      <c r="U293" s="818"/>
      <c r="V293" s="818"/>
      <c r="W293" s="818"/>
      <c r="X293" s="818"/>
      <c r="Y293" s="818"/>
      <c r="Z293" s="818"/>
      <c r="AA293" s="818"/>
      <c r="AB293" s="818"/>
      <c r="AC293" s="818"/>
      <c r="AD293" s="818"/>
      <c r="AE293" s="818"/>
      <c r="AF293" s="818"/>
      <c r="AG293" s="818"/>
    </row>
    <row r="294" ht="15" customHeight="1">
      <c r="A294" s="818"/>
      <c r="B294" s="663"/>
      <c r="C294" s="818"/>
      <c r="D294" s="818"/>
      <c r="E294" s="818"/>
      <c r="F294" s="818"/>
      <c r="G294" s="818"/>
      <c r="H294" s="818"/>
      <c r="I294" s="818"/>
      <c r="J294" s="818"/>
      <c r="K294" s="818"/>
      <c r="L294" s="818"/>
      <c r="M294" s="818"/>
      <c r="N294" s="818"/>
      <c r="O294" s="818"/>
      <c r="P294" s="663"/>
      <c r="Q294" s="663"/>
      <c r="R294" s="818"/>
      <c r="S294" s="818"/>
      <c r="T294" s="818"/>
      <c r="U294" s="818"/>
      <c r="V294" s="818"/>
      <c r="W294" s="818"/>
      <c r="X294" s="818"/>
      <c r="Y294" s="818"/>
      <c r="Z294" s="818"/>
      <c r="AA294" s="818"/>
      <c r="AB294" s="818"/>
      <c r="AC294" s="818"/>
      <c r="AD294" s="818"/>
      <c r="AE294" s="818"/>
      <c r="AF294" s="818"/>
      <c r="AG294" s="818"/>
    </row>
    <row r="295" ht="15" customHeight="1">
      <c r="A295" s="818"/>
      <c r="B295" s="663"/>
      <c r="C295" s="818"/>
      <c r="D295" s="818"/>
      <c r="E295" s="818"/>
      <c r="F295" s="818"/>
      <c r="G295" s="818"/>
      <c r="H295" s="818"/>
      <c r="I295" s="818"/>
      <c r="J295" s="818"/>
      <c r="K295" s="818"/>
      <c r="L295" s="818"/>
      <c r="M295" s="818"/>
      <c r="N295" s="818"/>
      <c r="O295" s="818"/>
      <c r="P295" s="663"/>
      <c r="Q295" s="663"/>
      <c r="R295" s="818"/>
      <c r="S295" s="818"/>
      <c r="T295" s="818"/>
      <c r="U295" s="818"/>
      <c r="V295" s="818"/>
      <c r="W295" s="818"/>
      <c r="X295" s="818"/>
      <c r="Y295" s="818"/>
      <c r="Z295" s="818"/>
      <c r="AA295" s="818"/>
      <c r="AB295" s="818"/>
      <c r="AC295" s="818"/>
      <c r="AD295" s="818"/>
      <c r="AE295" s="818"/>
      <c r="AF295" s="818"/>
      <c r="AG295" s="818"/>
    </row>
    <row r="296" ht="15" customHeight="1">
      <c r="A296" s="818"/>
      <c r="B296" s="663"/>
      <c r="C296" s="818"/>
      <c r="D296" s="818"/>
      <c r="E296" s="818"/>
      <c r="F296" s="818"/>
      <c r="G296" s="818"/>
      <c r="H296" s="818"/>
      <c r="I296" s="818"/>
      <c r="J296" s="818"/>
      <c r="K296" s="818"/>
      <c r="L296" s="818"/>
      <c r="M296" s="818"/>
      <c r="N296" s="818"/>
      <c r="O296" s="818"/>
      <c r="P296" s="663"/>
      <c r="Q296" s="663"/>
      <c r="R296" s="818"/>
      <c r="S296" s="818"/>
      <c r="T296" s="818"/>
      <c r="U296" s="818"/>
      <c r="V296" s="818"/>
      <c r="W296" s="818"/>
      <c r="X296" s="818"/>
      <c r="Y296" s="818"/>
      <c r="Z296" s="818"/>
      <c r="AA296" s="818"/>
      <c r="AB296" s="818"/>
      <c r="AC296" s="818"/>
      <c r="AD296" s="818"/>
      <c r="AE296" s="818"/>
      <c r="AF296" s="818"/>
      <c r="AG296" s="818"/>
    </row>
    <row r="297" ht="15" customHeight="1">
      <c r="A297" s="818"/>
      <c r="B297" s="663"/>
      <c r="C297" s="818"/>
      <c r="D297" s="818"/>
      <c r="E297" s="818"/>
      <c r="F297" s="818"/>
      <c r="G297" s="818"/>
      <c r="H297" s="818"/>
      <c r="I297" s="818"/>
      <c r="J297" s="818"/>
      <c r="K297" s="818"/>
      <c r="L297" s="818"/>
      <c r="M297" s="818"/>
      <c r="N297" s="818"/>
      <c r="O297" s="818"/>
      <c r="P297" s="663"/>
      <c r="Q297" s="663"/>
      <c r="R297" s="818"/>
      <c r="S297" s="818"/>
      <c r="T297" s="818"/>
      <c r="U297" s="818"/>
      <c r="V297" s="818"/>
      <c r="W297" s="818"/>
      <c r="X297" s="818"/>
      <c r="Y297" s="818"/>
      <c r="Z297" s="818"/>
      <c r="AA297" s="818"/>
      <c r="AB297" s="818"/>
      <c r="AC297" s="818"/>
      <c r="AD297" s="818"/>
      <c r="AE297" s="818"/>
      <c r="AF297" s="818"/>
      <c r="AG297" s="818"/>
    </row>
    <row r="298" ht="15" customHeight="1">
      <c r="A298" s="818"/>
      <c r="B298" s="663"/>
      <c r="C298" s="818"/>
      <c r="D298" s="818"/>
      <c r="E298" s="818"/>
      <c r="F298" s="818"/>
      <c r="G298" s="818"/>
      <c r="H298" s="818"/>
      <c r="I298" s="818"/>
      <c r="J298" s="818"/>
      <c r="K298" s="818"/>
      <c r="L298" s="818"/>
      <c r="M298" s="818"/>
      <c r="N298" s="818"/>
      <c r="O298" s="818"/>
      <c r="P298" s="663"/>
      <c r="Q298" s="663"/>
      <c r="R298" s="818"/>
      <c r="S298" s="818"/>
      <c r="T298" s="818"/>
      <c r="U298" s="818"/>
      <c r="V298" s="818"/>
      <c r="W298" s="818"/>
      <c r="X298" s="818"/>
      <c r="Y298" s="818"/>
      <c r="Z298" s="818"/>
      <c r="AA298" s="818"/>
      <c r="AB298" s="818"/>
      <c r="AC298" s="818"/>
      <c r="AD298" s="818"/>
      <c r="AE298" s="818"/>
      <c r="AF298" s="818"/>
      <c r="AG298" s="818"/>
    </row>
    <row r="299" ht="15" customHeight="1">
      <c r="A299" s="818"/>
      <c r="B299" s="663"/>
      <c r="C299" s="818"/>
      <c r="D299" s="818"/>
      <c r="E299" s="818"/>
      <c r="F299" s="818"/>
      <c r="G299" s="818"/>
      <c r="H299" s="818"/>
      <c r="I299" s="818"/>
      <c r="J299" s="818"/>
      <c r="K299" s="818"/>
      <c r="L299" s="818"/>
      <c r="M299" s="818"/>
      <c r="N299" s="818"/>
      <c r="O299" s="818"/>
      <c r="P299" s="663"/>
      <c r="Q299" s="663"/>
      <c r="R299" s="818"/>
      <c r="S299" s="818"/>
      <c r="T299" s="818"/>
      <c r="U299" s="818"/>
      <c r="V299" s="818"/>
      <c r="W299" s="818"/>
      <c r="X299" s="818"/>
      <c r="Y299" s="818"/>
      <c r="Z299" s="818"/>
      <c r="AA299" s="818"/>
      <c r="AB299" s="818"/>
      <c r="AC299" s="818"/>
      <c r="AD299" s="818"/>
      <c r="AE299" s="818"/>
      <c r="AF299" s="818"/>
      <c r="AG299" s="818"/>
    </row>
    <row r="300" ht="15" customHeight="1">
      <c r="A300" s="818"/>
      <c r="B300" s="663"/>
      <c r="C300" s="818"/>
      <c r="D300" s="818"/>
      <c r="E300" s="818"/>
      <c r="F300" s="818"/>
      <c r="G300" s="818"/>
      <c r="H300" s="818"/>
      <c r="I300" s="818"/>
      <c r="J300" s="818"/>
      <c r="K300" s="818"/>
      <c r="L300" s="818"/>
      <c r="M300" s="818"/>
      <c r="N300" s="818"/>
      <c r="O300" s="818"/>
      <c r="P300" s="663"/>
      <c r="Q300" s="663"/>
      <c r="R300" s="818"/>
      <c r="S300" s="818"/>
      <c r="T300" s="818"/>
      <c r="U300" s="818"/>
      <c r="V300" s="818"/>
      <c r="W300" s="818"/>
      <c r="X300" s="818"/>
      <c r="Y300" s="818"/>
      <c r="Z300" s="818"/>
      <c r="AA300" s="818"/>
      <c r="AB300" s="818"/>
      <c r="AC300" s="818"/>
      <c r="AD300" s="818"/>
      <c r="AE300" s="818"/>
      <c r="AF300" s="818"/>
      <c r="AG300" s="818"/>
    </row>
    <row r="301" ht="15" customHeight="1">
      <c r="A301" s="818"/>
      <c r="B301" s="663"/>
      <c r="C301" s="818"/>
      <c r="D301" s="818"/>
      <c r="E301" s="818"/>
      <c r="F301" s="818"/>
      <c r="G301" s="818"/>
      <c r="H301" s="818"/>
      <c r="I301" s="818"/>
      <c r="J301" s="818"/>
      <c r="K301" s="818"/>
      <c r="L301" s="818"/>
      <c r="M301" s="818"/>
      <c r="N301" s="818"/>
      <c r="O301" s="818"/>
      <c r="P301" s="663"/>
      <c r="Q301" s="663"/>
      <c r="R301" s="818"/>
      <c r="S301" s="818"/>
      <c r="T301" s="818"/>
      <c r="U301" s="818"/>
      <c r="V301" s="818"/>
      <c r="W301" s="818"/>
      <c r="X301" s="818"/>
      <c r="Y301" s="818"/>
      <c r="Z301" s="818"/>
      <c r="AA301" s="818"/>
      <c r="AB301" s="818"/>
      <c r="AC301" s="818"/>
      <c r="AD301" s="818"/>
      <c r="AE301" s="818"/>
      <c r="AF301" s="818"/>
      <c r="AG301" s="818"/>
    </row>
    <row r="302" ht="15" customHeight="1">
      <c r="A302" s="818"/>
      <c r="B302" s="663"/>
      <c r="C302" s="818"/>
      <c r="D302" s="818"/>
      <c r="E302" s="818"/>
      <c r="F302" s="818"/>
      <c r="G302" s="818"/>
      <c r="H302" s="818"/>
      <c r="I302" s="818"/>
      <c r="J302" s="818"/>
      <c r="K302" s="818"/>
      <c r="L302" s="818"/>
      <c r="M302" s="818"/>
      <c r="N302" s="818"/>
      <c r="O302" s="818"/>
      <c r="P302" s="663"/>
      <c r="Q302" s="663"/>
      <c r="R302" s="818"/>
      <c r="S302" s="818"/>
      <c r="T302" s="818"/>
      <c r="U302" s="818"/>
      <c r="V302" s="818"/>
      <c r="W302" s="818"/>
      <c r="X302" s="818"/>
      <c r="Y302" s="818"/>
      <c r="Z302" s="818"/>
      <c r="AA302" s="818"/>
      <c r="AB302" s="818"/>
      <c r="AC302" s="818"/>
      <c r="AD302" s="818"/>
      <c r="AE302" s="818"/>
      <c r="AF302" s="818"/>
      <c r="AG302" s="818"/>
    </row>
    <row r="303" ht="15" customHeight="1">
      <c r="A303" s="818"/>
      <c r="B303" s="663"/>
      <c r="C303" s="818"/>
      <c r="D303" s="818"/>
      <c r="E303" s="818"/>
      <c r="F303" s="818"/>
      <c r="G303" s="818"/>
      <c r="H303" s="818"/>
      <c r="I303" s="818"/>
      <c r="J303" s="818"/>
      <c r="K303" s="818"/>
      <c r="L303" s="818"/>
      <c r="M303" s="818"/>
      <c r="N303" s="818"/>
      <c r="O303" s="818"/>
      <c r="P303" s="663"/>
      <c r="Q303" s="663"/>
      <c r="R303" s="818"/>
      <c r="S303" s="818"/>
      <c r="T303" s="818"/>
      <c r="U303" s="818"/>
      <c r="V303" s="818"/>
      <c r="W303" s="818"/>
      <c r="X303" s="818"/>
      <c r="Y303" s="818"/>
      <c r="Z303" s="818"/>
      <c r="AA303" s="818"/>
      <c r="AB303" s="818"/>
      <c r="AC303" s="818"/>
      <c r="AD303" s="818"/>
      <c r="AE303" s="818"/>
      <c r="AF303" s="818"/>
      <c r="AG303" s="818"/>
    </row>
    <row r="304" ht="15" customHeight="1">
      <c r="A304" s="818"/>
      <c r="B304" s="663"/>
      <c r="C304" s="818"/>
      <c r="D304" s="818"/>
      <c r="E304" s="818"/>
      <c r="F304" s="818"/>
      <c r="G304" s="818"/>
      <c r="H304" s="818"/>
      <c r="I304" s="818"/>
      <c r="J304" s="818"/>
      <c r="K304" s="818"/>
      <c r="L304" s="818"/>
      <c r="M304" s="818"/>
      <c r="N304" s="818"/>
      <c r="O304" s="818"/>
      <c r="P304" s="663"/>
      <c r="Q304" s="663"/>
      <c r="R304" s="818"/>
      <c r="S304" s="818"/>
      <c r="T304" s="818"/>
      <c r="U304" s="818"/>
      <c r="V304" s="818"/>
      <c r="W304" s="818"/>
      <c r="X304" s="818"/>
      <c r="Y304" s="818"/>
      <c r="Z304" s="818"/>
      <c r="AA304" s="818"/>
      <c r="AB304" s="818"/>
      <c r="AC304" s="818"/>
      <c r="AD304" s="818"/>
      <c r="AE304" s="818"/>
      <c r="AF304" s="818"/>
      <c r="AG304" s="818"/>
    </row>
    <row r="305" ht="15" customHeight="1">
      <c r="A305" s="818"/>
      <c r="B305" s="663"/>
      <c r="C305" s="818"/>
      <c r="D305" s="818"/>
      <c r="E305" s="818"/>
      <c r="F305" s="818"/>
      <c r="G305" s="818"/>
      <c r="H305" s="818"/>
      <c r="I305" s="818"/>
      <c r="J305" s="818"/>
      <c r="K305" s="818"/>
      <c r="L305" s="818"/>
      <c r="M305" s="818"/>
      <c r="N305" s="818"/>
      <c r="O305" s="818"/>
      <c r="P305" s="663"/>
      <c r="Q305" s="663"/>
      <c r="R305" s="818"/>
      <c r="S305" s="818"/>
      <c r="T305" s="818"/>
      <c r="U305" s="818"/>
      <c r="V305" s="818"/>
      <c r="W305" s="818"/>
      <c r="X305" s="818"/>
      <c r="Y305" s="818"/>
      <c r="Z305" s="818"/>
      <c r="AA305" s="818"/>
      <c r="AB305" s="818"/>
      <c r="AC305" s="818"/>
      <c r="AD305" s="818"/>
      <c r="AE305" s="818"/>
      <c r="AF305" s="818"/>
      <c r="AG305" s="818"/>
    </row>
    <row r="306" ht="15" customHeight="1">
      <c r="A306" s="818"/>
      <c r="B306" s="663"/>
      <c r="C306" s="818"/>
      <c r="D306" s="818"/>
      <c r="E306" s="818"/>
      <c r="F306" s="818"/>
      <c r="G306" s="818"/>
      <c r="H306" s="818"/>
      <c r="I306" s="818"/>
      <c r="J306" s="818"/>
      <c r="K306" s="818"/>
      <c r="L306" s="818"/>
      <c r="M306" s="818"/>
      <c r="N306" s="818"/>
      <c r="O306" s="818"/>
      <c r="P306" s="663"/>
      <c r="Q306" s="663"/>
      <c r="R306" s="818"/>
      <c r="S306" s="818"/>
      <c r="T306" s="818"/>
      <c r="U306" s="818"/>
      <c r="V306" s="818"/>
      <c r="W306" s="818"/>
      <c r="X306" s="818"/>
      <c r="Y306" s="818"/>
      <c r="Z306" s="818"/>
      <c r="AA306" s="818"/>
      <c r="AB306" s="818"/>
      <c r="AC306" s="818"/>
      <c r="AD306" s="818"/>
      <c r="AE306" s="818"/>
      <c r="AF306" s="818"/>
      <c r="AG306" s="818"/>
    </row>
    <row r="307" ht="15" customHeight="1">
      <c r="A307" s="818"/>
      <c r="B307" s="663"/>
      <c r="C307" s="818"/>
      <c r="D307" s="818"/>
      <c r="E307" s="818"/>
      <c r="F307" s="818"/>
      <c r="G307" s="818"/>
      <c r="H307" s="818"/>
      <c r="I307" s="818"/>
      <c r="J307" s="818"/>
      <c r="K307" s="818"/>
      <c r="L307" s="818"/>
      <c r="M307" s="818"/>
      <c r="N307" s="818"/>
      <c r="O307" s="818"/>
      <c r="P307" s="663"/>
      <c r="Q307" s="663"/>
      <c r="R307" s="818"/>
      <c r="S307" s="818"/>
      <c r="T307" s="818"/>
      <c r="U307" s="818"/>
      <c r="V307" s="818"/>
      <c r="W307" s="818"/>
      <c r="X307" s="818"/>
      <c r="Y307" s="818"/>
      <c r="Z307" s="818"/>
      <c r="AA307" s="818"/>
      <c r="AB307" s="818"/>
      <c r="AC307" s="818"/>
      <c r="AD307" s="818"/>
      <c r="AE307" s="818"/>
      <c r="AF307" s="818"/>
      <c r="AG307" s="818"/>
    </row>
    <row r="308" ht="15" customHeight="1">
      <c r="A308" s="818"/>
      <c r="B308" s="663"/>
      <c r="C308" s="818"/>
      <c r="D308" s="818"/>
      <c r="E308" s="818"/>
      <c r="F308" s="818"/>
      <c r="G308" s="818"/>
      <c r="H308" s="818"/>
      <c r="I308" s="818"/>
      <c r="J308" s="818"/>
      <c r="K308" s="818"/>
      <c r="L308" s="818"/>
      <c r="M308" s="818"/>
      <c r="N308" s="818"/>
      <c r="O308" s="818"/>
      <c r="P308" s="663"/>
      <c r="Q308" s="663"/>
      <c r="R308" s="818"/>
      <c r="S308" s="818"/>
      <c r="T308" s="818"/>
      <c r="U308" s="818"/>
      <c r="V308" s="818"/>
      <c r="W308" s="818"/>
      <c r="X308" s="818"/>
      <c r="Y308" s="818"/>
      <c r="Z308" s="818"/>
      <c r="AA308" s="818"/>
      <c r="AB308" s="818"/>
      <c r="AC308" s="818"/>
      <c r="AD308" s="818"/>
      <c r="AE308" s="818"/>
      <c r="AF308" s="818"/>
      <c r="AG308" s="818"/>
    </row>
    <row r="309" ht="15" customHeight="1">
      <c r="A309" s="818"/>
      <c r="B309" s="663"/>
      <c r="C309" s="818"/>
      <c r="D309" s="818"/>
      <c r="E309" s="818"/>
      <c r="F309" s="818"/>
      <c r="G309" s="818"/>
      <c r="H309" s="818"/>
      <c r="I309" s="818"/>
      <c r="J309" s="818"/>
      <c r="K309" s="818"/>
      <c r="L309" s="818"/>
      <c r="M309" s="818"/>
      <c r="N309" s="818"/>
      <c r="O309" s="818"/>
      <c r="P309" s="663"/>
      <c r="Q309" s="663"/>
      <c r="R309" s="818"/>
      <c r="S309" s="818"/>
      <c r="T309" s="818"/>
      <c r="U309" s="818"/>
      <c r="V309" s="818"/>
      <c r="W309" s="818"/>
      <c r="X309" s="818"/>
      <c r="Y309" s="818"/>
      <c r="Z309" s="818"/>
      <c r="AA309" s="818"/>
      <c r="AB309" s="818"/>
      <c r="AC309" s="818"/>
      <c r="AD309" s="818"/>
      <c r="AE309" s="818"/>
      <c r="AF309" s="818"/>
      <c r="AG309" s="818"/>
    </row>
    <row r="310" ht="15" customHeight="1">
      <c r="A310" s="818"/>
      <c r="B310" s="663"/>
      <c r="C310" s="818"/>
      <c r="D310" s="818"/>
      <c r="E310" s="818"/>
      <c r="F310" s="818"/>
      <c r="G310" s="818"/>
      <c r="H310" s="818"/>
      <c r="I310" s="818"/>
      <c r="J310" s="818"/>
      <c r="K310" s="818"/>
      <c r="L310" s="818"/>
      <c r="M310" s="818"/>
      <c r="N310" s="818"/>
      <c r="O310" s="818"/>
      <c r="P310" s="663"/>
      <c r="Q310" s="663"/>
      <c r="R310" s="818"/>
      <c r="S310" s="818"/>
      <c r="T310" s="818"/>
      <c r="U310" s="818"/>
      <c r="V310" s="818"/>
      <c r="W310" s="818"/>
      <c r="X310" s="818"/>
      <c r="Y310" s="818"/>
      <c r="Z310" s="818"/>
      <c r="AA310" s="818"/>
      <c r="AB310" s="818"/>
      <c r="AC310" s="818"/>
      <c r="AD310" s="818"/>
      <c r="AE310" s="818"/>
      <c r="AF310" s="818"/>
      <c r="AG310" s="818"/>
    </row>
    <row r="311" ht="15" customHeight="1">
      <c r="A311" s="818"/>
      <c r="B311" s="663"/>
      <c r="C311" s="818"/>
      <c r="D311" s="818"/>
      <c r="E311" s="818"/>
      <c r="F311" s="818"/>
      <c r="G311" s="818"/>
      <c r="H311" s="818"/>
      <c r="I311" s="818"/>
      <c r="J311" s="818"/>
      <c r="K311" s="818"/>
      <c r="L311" s="818"/>
      <c r="M311" s="818"/>
      <c r="N311" s="818"/>
      <c r="O311" s="818"/>
      <c r="P311" s="663"/>
      <c r="Q311" s="663"/>
      <c r="R311" s="818"/>
      <c r="S311" s="818"/>
      <c r="T311" s="818"/>
      <c r="U311" s="818"/>
      <c r="V311" s="818"/>
      <c r="W311" s="818"/>
      <c r="X311" s="818"/>
      <c r="Y311" s="818"/>
      <c r="Z311" s="818"/>
      <c r="AA311" s="818"/>
      <c r="AB311" s="818"/>
      <c r="AC311" s="818"/>
      <c r="AD311" s="818"/>
      <c r="AE311" s="818"/>
      <c r="AF311" s="818"/>
      <c r="AG311" s="818"/>
    </row>
    <row r="312" ht="15" customHeight="1">
      <c r="A312" s="818"/>
      <c r="B312" s="663"/>
      <c r="C312" s="818"/>
      <c r="D312" s="818"/>
      <c r="E312" s="818"/>
      <c r="F312" s="818"/>
      <c r="G312" s="818"/>
      <c r="H312" s="818"/>
      <c r="I312" s="818"/>
      <c r="J312" s="818"/>
      <c r="K312" s="818"/>
      <c r="L312" s="818"/>
      <c r="M312" s="818"/>
      <c r="N312" s="818"/>
      <c r="O312" s="818"/>
      <c r="P312" s="663"/>
      <c r="Q312" s="663"/>
      <c r="R312" s="818"/>
      <c r="S312" s="818"/>
      <c r="T312" s="818"/>
      <c r="U312" s="818"/>
      <c r="V312" s="818"/>
      <c r="W312" s="818"/>
      <c r="X312" s="818"/>
      <c r="Y312" s="818"/>
      <c r="Z312" s="818"/>
      <c r="AA312" s="818"/>
      <c r="AB312" s="818"/>
      <c r="AC312" s="818"/>
      <c r="AD312" s="818"/>
      <c r="AE312" s="818"/>
      <c r="AF312" s="818"/>
      <c r="AG312" s="818"/>
    </row>
    <row r="313" ht="15" customHeight="1">
      <c r="A313" s="818"/>
      <c r="B313" s="663"/>
      <c r="C313" s="818"/>
      <c r="D313" s="818"/>
      <c r="E313" s="818"/>
      <c r="F313" s="818"/>
      <c r="G313" s="818"/>
      <c r="H313" s="818"/>
      <c r="I313" s="818"/>
      <c r="J313" s="818"/>
      <c r="K313" s="818"/>
      <c r="L313" s="818"/>
      <c r="M313" s="818"/>
      <c r="N313" s="818"/>
      <c r="O313" s="818"/>
      <c r="P313" s="663"/>
      <c r="Q313" s="663"/>
      <c r="R313" s="818"/>
      <c r="S313" s="818"/>
      <c r="T313" s="818"/>
      <c r="U313" s="818"/>
      <c r="V313" s="818"/>
      <c r="W313" s="818"/>
      <c r="X313" s="818"/>
      <c r="Y313" s="818"/>
      <c r="Z313" s="818"/>
      <c r="AA313" s="818"/>
      <c r="AB313" s="818"/>
      <c r="AC313" s="818"/>
      <c r="AD313" s="818"/>
      <c r="AE313" s="818"/>
      <c r="AF313" s="818"/>
      <c r="AG313" s="818"/>
    </row>
    <row r="314" ht="15" customHeight="1">
      <c r="A314" s="818"/>
      <c r="B314" s="663"/>
      <c r="C314" s="818"/>
      <c r="D314" s="818"/>
      <c r="E314" s="818"/>
      <c r="F314" s="818"/>
      <c r="G314" s="818"/>
      <c r="H314" s="818"/>
      <c r="I314" s="818"/>
      <c r="J314" s="818"/>
      <c r="K314" s="818"/>
      <c r="L314" s="818"/>
      <c r="M314" s="818"/>
      <c r="N314" s="818"/>
      <c r="O314" s="818"/>
      <c r="P314" s="663"/>
      <c r="Q314" s="663"/>
      <c r="R314" s="818"/>
      <c r="S314" s="818"/>
      <c r="T314" s="818"/>
      <c r="U314" s="818"/>
      <c r="V314" s="818"/>
      <c r="W314" s="818"/>
      <c r="X314" s="818"/>
      <c r="Y314" s="818"/>
      <c r="Z314" s="818"/>
      <c r="AA314" s="818"/>
      <c r="AB314" s="818"/>
      <c r="AC314" s="818"/>
      <c r="AD314" s="818"/>
      <c r="AE314" s="818"/>
      <c r="AF314" s="818"/>
      <c r="AG314" s="818"/>
    </row>
    <row r="315" ht="15" customHeight="1">
      <c r="A315" s="818"/>
      <c r="B315" s="663"/>
      <c r="C315" s="818"/>
      <c r="D315" s="818"/>
      <c r="E315" s="818"/>
      <c r="F315" s="818"/>
      <c r="G315" s="818"/>
      <c r="H315" s="818"/>
      <c r="I315" s="818"/>
      <c r="J315" s="818"/>
      <c r="K315" s="818"/>
      <c r="L315" s="818"/>
      <c r="M315" s="818"/>
      <c r="N315" s="818"/>
      <c r="O315" s="818"/>
      <c r="P315" s="663"/>
      <c r="Q315" s="663"/>
      <c r="R315" s="818"/>
      <c r="S315" s="818"/>
      <c r="T315" s="818"/>
      <c r="U315" s="818"/>
      <c r="V315" s="818"/>
      <c r="W315" s="818"/>
      <c r="X315" s="818"/>
      <c r="Y315" s="818"/>
      <c r="Z315" s="818"/>
      <c r="AA315" s="818"/>
      <c r="AB315" s="818"/>
      <c r="AC315" s="818"/>
      <c r="AD315" s="818"/>
      <c r="AE315" s="818"/>
      <c r="AF315" s="818"/>
      <c r="AG315" s="818"/>
    </row>
    <row r="316" ht="15" customHeight="1">
      <c r="A316" s="818"/>
      <c r="B316" s="663"/>
      <c r="C316" s="818"/>
      <c r="D316" s="818"/>
      <c r="E316" s="818"/>
      <c r="F316" s="818"/>
      <c r="G316" s="818"/>
      <c r="H316" s="818"/>
      <c r="I316" s="818"/>
      <c r="J316" s="818"/>
      <c r="K316" s="818"/>
      <c r="L316" s="818"/>
      <c r="M316" s="818"/>
      <c r="N316" s="818"/>
      <c r="O316" s="818"/>
      <c r="P316" s="663"/>
      <c r="Q316" s="663"/>
      <c r="R316" s="818"/>
      <c r="S316" s="818"/>
      <c r="T316" s="818"/>
      <c r="U316" s="818"/>
      <c r="V316" s="818"/>
      <c r="W316" s="818"/>
      <c r="X316" s="818"/>
      <c r="Y316" s="818"/>
      <c r="Z316" s="818"/>
      <c r="AA316" s="818"/>
      <c r="AB316" s="818"/>
      <c r="AC316" s="818"/>
      <c r="AD316" s="818"/>
      <c r="AE316" s="818"/>
      <c r="AF316" s="818"/>
      <c r="AG316" s="818"/>
    </row>
    <row r="317" ht="15" customHeight="1">
      <c r="A317" s="818"/>
      <c r="B317" s="663"/>
      <c r="C317" s="818"/>
      <c r="D317" s="818"/>
      <c r="E317" s="818"/>
      <c r="F317" s="818"/>
      <c r="G317" s="818"/>
      <c r="H317" s="818"/>
      <c r="I317" s="818"/>
      <c r="J317" s="818"/>
      <c r="K317" s="818"/>
      <c r="L317" s="818"/>
      <c r="M317" s="818"/>
      <c r="N317" s="818"/>
      <c r="O317" s="818"/>
      <c r="P317" s="663"/>
      <c r="Q317" s="663"/>
      <c r="R317" s="818"/>
      <c r="S317" s="818"/>
      <c r="T317" s="818"/>
      <c r="U317" s="818"/>
      <c r="V317" s="818"/>
      <c r="W317" s="818"/>
      <c r="X317" s="818"/>
      <c r="Y317" s="818"/>
      <c r="Z317" s="818"/>
      <c r="AA317" s="818"/>
      <c r="AB317" s="818"/>
      <c r="AC317" s="818"/>
      <c r="AD317" s="818"/>
      <c r="AE317" s="818"/>
      <c r="AF317" s="818"/>
      <c r="AG317" s="818"/>
    </row>
    <row r="318" ht="15" customHeight="1">
      <c r="A318" s="818"/>
      <c r="B318" s="663"/>
      <c r="C318" s="818"/>
      <c r="D318" s="818"/>
      <c r="E318" s="818"/>
      <c r="F318" s="818"/>
      <c r="G318" s="818"/>
      <c r="H318" s="818"/>
      <c r="I318" s="818"/>
      <c r="J318" s="818"/>
      <c r="K318" s="818"/>
      <c r="L318" s="818"/>
      <c r="M318" s="818"/>
      <c r="N318" s="818"/>
      <c r="O318" s="818"/>
      <c r="P318" s="663"/>
      <c r="Q318" s="663"/>
      <c r="R318" s="818"/>
      <c r="S318" s="818"/>
      <c r="T318" s="818"/>
      <c r="U318" s="818"/>
      <c r="V318" s="818"/>
      <c r="W318" s="818"/>
      <c r="X318" s="818"/>
      <c r="Y318" s="818"/>
      <c r="Z318" s="818"/>
      <c r="AA318" s="818"/>
      <c r="AB318" s="818"/>
      <c r="AC318" s="818"/>
      <c r="AD318" s="818"/>
      <c r="AE318" s="818"/>
      <c r="AF318" s="818"/>
      <c r="AG318" s="818"/>
    </row>
    <row r="319" ht="15" customHeight="1">
      <c r="A319" s="818"/>
      <c r="B319" s="663"/>
      <c r="C319" s="818"/>
      <c r="D319" s="818"/>
      <c r="E319" s="818"/>
      <c r="F319" s="818"/>
      <c r="G319" s="818"/>
      <c r="H319" s="818"/>
      <c r="I319" s="818"/>
      <c r="J319" s="818"/>
      <c r="K319" s="818"/>
      <c r="L319" s="818"/>
      <c r="M319" s="818"/>
      <c r="N319" s="818"/>
      <c r="O319" s="818"/>
      <c r="P319" s="663"/>
      <c r="Q319" s="663"/>
      <c r="R319" s="818"/>
      <c r="S319" s="818"/>
      <c r="T319" s="818"/>
      <c r="U319" s="818"/>
      <c r="V319" s="818"/>
      <c r="W319" s="818"/>
      <c r="X319" s="818"/>
      <c r="Y319" s="818"/>
      <c r="Z319" s="818"/>
      <c r="AA319" s="818"/>
      <c r="AB319" s="818"/>
      <c r="AC319" s="818"/>
      <c r="AD319" s="818"/>
      <c r="AE319" s="818"/>
      <c r="AF319" s="818"/>
      <c r="AG319" s="818"/>
    </row>
    <row r="320" ht="15" customHeight="1">
      <c r="A320" s="818"/>
      <c r="B320" s="663"/>
      <c r="C320" s="818"/>
      <c r="D320" s="818"/>
      <c r="E320" s="818"/>
      <c r="F320" s="818"/>
      <c r="G320" s="818"/>
      <c r="H320" s="818"/>
      <c r="I320" s="818"/>
      <c r="J320" s="818"/>
      <c r="K320" s="818"/>
      <c r="L320" s="818"/>
      <c r="M320" s="818"/>
      <c r="N320" s="818"/>
      <c r="O320" s="818"/>
      <c r="P320" s="663"/>
      <c r="Q320" s="663"/>
      <c r="R320" s="818"/>
      <c r="S320" s="818"/>
      <c r="T320" s="818"/>
      <c r="U320" s="818"/>
      <c r="V320" s="818"/>
      <c r="W320" s="818"/>
      <c r="X320" s="818"/>
      <c r="Y320" s="818"/>
      <c r="Z320" s="818"/>
      <c r="AA320" s="818"/>
      <c r="AB320" s="818"/>
      <c r="AC320" s="818"/>
      <c r="AD320" s="818"/>
      <c r="AE320" s="818"/>
      <c r="AF320" s="818"/>
      <c r="AG320" s="818"/>
    </row>
  </sheetData>
  <pageMargins left="0.7" right="0.7" top="0.75" bottom="0.75" header="0.3" footer="0.3"/>
  <pageSetup firstPageNumber="1" fitToHeight="1" fitToWidth="1" scale="100" useFirstPageNumber="0" orientation="landscape" pageOrder="downThenOver"/>
  <headerFooter>
    <oddFooter>&amp;C&amp;"Helvetica Neue,Regular"&amp;12&amp;K000000&amp;P</oddFooter>
  </headerFooter>
</worksheet>
</file>

<file path=xl/worksheets/sheet5.xml><?xml version="1.0" encoding="utf-8"?>
<worksheet xmlns:r="http://schemas.openxmlformats.org/officeDocument/2006/relationships" xmlns="http://schemas.openxmlformats.org/spreadsheetml/2006/main">
  <sheetPr>
    <pageSetUpPr fitToPage="1"/>
  </sheetPr>
  <dimension ref="A1:I44"/>
  <sheetViews>
    <sheetView workbookViewId="0" showGridLines="0" defaultGridColor="1"/>
  </sheetViews>
  <sheetFormatPr defaultColWidth="8.83333" defaultRowHeight="15" customHeight="1" outlineLevelRow="0" outlineLevelCol="0"/>
  <cols>
    <col min="1" max="1" width="5" style="819" customWidth="1"/>
    <col min="2" max="8" width="15.1719" style="819" customWidth="1"/>
    <col min="9" max="9" width="65.6719" style="819" customWidth="1"/>
    <col min="10" max="256" width="8.85156" style="819" customWidth="1"/>
  </cols>
  <sheetData>
    <row r="1" ht="15" customHeight="1">
      <c r="A1" s="820"/>
      <c r="B1" t="s" s="821">
        <v>484</v>
      </c>
      <c r="C1" s="822"/>
      <c r="D1" s="822"/>
      <c r="E1" s="823"/>
      <c r="F1" s="823"/>
      <c r="G1" s="824">
        <f>NOW()</f>
        <v>43624.640567129631</v>
      </c>
      <c r="H1" s="825"/>
      <c r="I1" s="826"/>
    </row>
    <row r="2" ht="15.75" customHeight="1">
      <c r="A2" s="827"/>
      <c r="B2" s="828"/>
      <c r="C2" s="828"/>
      <c r="D2" s="828"/>
      <c r="E2" s="829"/>
      <c r="F2" t="s" s="830">
        <v>59</v>
      </c>
      <c r="G2" s="831">
        <f>'Print Out'!H2</f>
        <v>0</v>
      </c>
      <c r="H2" s="832"/>
      <c r="I2" s="833"/>
    </row>
    <row r="3" ht="15" customHeight="1">
      <c r="A3" s="834"/>
      <c r="B3" t="s" s="835">
        <f>'Planner Worksheet'!M14</f>
        <v>485</v>
      </c>
      <c r="C3" s="836"/>
      <c r="D3" s="836"/>
      <c r="E3" s="837"/>
      <c r="F3" t="s" s="838">
        <v>60</v>
      </c>
      <c r="G3" s="839">
        <f>'Print Out'!H3</f>
        <v>0</v>
      </c>
      <c r="H3" s="840"/>
      <c r="I3" s="833"/>
    </row>
    <row r="4" ht="15.75" customHeight="1">
      <c r="A4" s="834"/>
      <c r="B4" s="841"/>
      <c r="C4" s="842"/>
      <c r="D4" s="842"/>
      <c r="E4" s="843"/>
      <c r="F4" t="s" s="838">
        <v>61</v>
      </c>
      <c r="G4" s="839">
        <f>'Print Out'!H4</f>
        <v>0</v>
      </c>
      <c r="H4" s="840"/>
      <c r="I4" s="833"/>
    </row>
    <row r="5" ht="15" customHeight="1">
      <c r="A5" s="827"/>
      <c r="B5" t="s" s="844">
        <f>IF('Planner Worksheet'!L19="GnRH","","GnRH= "&amp;'Planner Worksheet'!L19)</f>
        <v>486</v>
      </c>
      <c r="C5" s="845"/>
      <c r="D5" t="s" s="846">
        <f>IF('Planner Worksheet'!L20="PG","","PG= "&amp;'Planner Worksheet'!L20)</f>
        <v>487</v>
      </c>
      <c r="E5" s="847"/>
      <c r="F5" t="s" s="830">
        <v>62</v>
      </c>
      <c r="G5" s="839">
        <f>'Print Out'!H5</f>
        <v>0</v>
      </c>
      <c r="H5" s="840"/>
      <c r="I5" s="833"/>
    </row>
    <row r="6" ht="15" customHeight="1">
      <c r="A6" s="827"/>
      <c r="B6" t="s" s="848">
        <v>95</v>
      </c>
      <c r="C6" s="66"/>
      <c r="D6" s="849">
        <f>'Planner Worksheet'!G17</f>
        <v>43451</v>
      </c>
      <c r="E6" s="66"/>
      <c r="F6" t="s" s="830">
        <v>65</v>
      </c>
      <c r="G6" s="839">
        <f>'Print Out'!H6</f>
        <v>0</v>
      </c>
      <c r="H6" s="840"/>
      <c r="I6" s="833"/>
    </row>
    <row r="7" ht="15" customHeight="1">
      <c r="A7" s="827"/>
      <c r="B7" t="s" s="850">
        <v>488</v>
      </c>
      <c r="C7" s="81"/>
      <c r="D7" t="s" s="851">
        <f>IF('Planner Worksheet'!G21&gt;0.5,'Planner Worksheet'!M2,"")</f>
      </c>
      <c r="E7" s="65"/>
      <c r="F7" t="s" s="830">
        <v>69</v>
      </c>
      <c r="G7" s="839">
        <f>'Print Out'!H7</f>
        <v>0</v>
      </c>
      <c r="H7" s="840"/>
      <c r="I7" s="833"/>
    </row>
    <row r="8" ht="15.75" customHeight="1">
      <c r="A8" s="827"/>
      <c r="B8" t="s" s="852">
        <v>489</v>
      </c>
      <c r="C8" s="853"/>
      <c r="D8" s="854">
        <f>D6+281</f>
        <v>43732</v>
      </c>
      <c r="E8" s="855"/>
      <c r="F8" t="s" s="856">
        <v>62</v>
      </c>
      <c r="G8" s="857">
        <f>'Print Out'!H8</f>
        <v>0</v>
      </c>
      <c r="H8" s="853"/>
      <c r="I8" s="833"/>
    </row>
    <row r="9" ht="15" customHeight="1">
      <c r="A9" s="834"/>
      <c r="B9" t="s" s="858">
        <f>IF('Planner Worksheet'!G15=1,"",'Planner Worksheet'!I16)</f>
        <v>490</v>
      </c>
      <c r="C9" s="859"/>
      <c r="D9" s="860">
        <f>IF('Planner Worksheet'!G15=1,"",'Planner Worksheet'!J16)</f>
      </c>
      <c r="E9" s="861"/>
      <c r="F9" s="862"/>
      <c r="G9" s="863"/>
      <c r="H9" s="864"/>
      <c r="I9" s="865"/>
    </row>
    <row r="10" ht="15.75" customHeight="1">
      <c r="A10" s="834"/>
      <c r="B10" t="s" s="866">
        <f>IF('Planner Worksheet'!G15&gt;1,"Complete Timed AI between:","")</f>
        <v>491</v>
      </c>
      <c r="C10" s="867"/>
      <c r="D10" s="868">
        <f>IF('Planner Worksheet'!G15=2,'Planner Worksheet'!Q12,IF(AND('Planner Worksheet'!G15=3,'Planner Worksheet'!G16=13),G10-TIME(8,0,0),IF('Planner Worksheet'!G15=3,'Planner Worksheet'!O17,"")))</f>
      </c>
      <c r="E10" s="869"/>
      <c r="F10" t="s" s="870">
        <f>IF(B10="","","and")</f>
        <v>492</v>
      </c>
      <c r="G10" s="869">
        <f>IF('Planner Worksheet'!G15=2,'Planner Worksheet'!M15+12/24,IF('Planner Worksheet'!G15=3,'Planner Worksheet'!G17+'Planner Worksheet'!G18+'Planner Worksheet'!P12/24,""))</f>
      </c>
      <c r="H10" s="871"/>
      <c r="I10" s="865"/>
    </row>
    <row r="11" ht="15.75" customHeight="1">
      <c r="A11" s="834"/>
      <c r="B11" t="s" s="872">
        <v>208</v>
      </c>
      <c r="C11" t="s" s="873">
        <v>215</v>
      </c>
      <c r="D11" t="s" s="873">
        <v>493</v>
      </c>
      <c r="E11" t="s" s="873">
        <v>494</v>
      </c>
      <c r="F11" t="s" s="873">
        <v>495</v>
      </c>
      <c r="G11" t="s" s="873">
        <v>211</v>
      </c>
      <c r="H11" t="s" s="874">
        <v>496</v>
      </c>
      <c r="I11" s="865"/>
    </row>
    <row r="12" ht="15.75" customHeight="1">
      <c r="A12" s="834"/>
      <c r="B12" s="875">
        <f>IF(WEEKDAY('Planner Worksheet'!$B62)=1,'Planner Worksheet'!$B62,'Planner Worksheet'!$B62-(WEEKDAY('Planner Worksheet'!$B62)-1))</f>
        <v>43443</v>
      </c>
      <c r="C12" s="876">
        <f>IF(WEEKDAY('Planner Worksheet'!$B62)=2,'Planner Worksheet'!$B62,'Planner Worksheet'!$B62-(WEEKDAY('Planner Worksheet'!$B62)-2))</f>
        <v>43444</v>
      </c>
      <c r="D12" s="876">
        <f>IF(WEEKDAY('Planner Worksheet'!$B62)=3,'Planner Worksheet'!$B62,'Planner Worksheet'!$B62-(WEEKDAY('Planner Worksheet'!$B62)-3))</f>
        <v>43445</v>
      </c>
      <c r="E12" s="876">
        <f>IF(WEEKDAY('Planner Worksheet'!$B62)=4,'Planner Worksheet'!$B62,'Planner Worksheet'!$B62-(WEEKDAY('Planner Worksheet'!$B62)-4))</f>
        <v>43446</v>
      </c>
      <c r="F12" s="876">
        <f>IF(WEEKDAY('Planner Worksheet'!$B62)=5,'Planner Worksheet'!$B62,'Planner Worksheet'!$B62-(WEEKDAY('Planner Worksheet'!$B62)-5))</f>
        <v>43447</v>
      </c>
      <c r="G12" s="876">
        <f>IF(WEEKDAY('Planner Worksheet'!$B62)=6,'Planner Worksheet'!$B62,'Planner Worksheet'!$B62-(WEEKDAY('Planner Worksheet'!$B62)-6))</f>
        <v>43448</v>
      </c>
      <c r="H12" s="876">
        <f>IF(WEEKDAY('Planner Worksheet'!$B62)=7,'Planner Worksheet'!$B62,'Planner Worksheet'!$B62-(WEEKDAY('Planner Worksheet'!$B62)-7))</f>
        <v>43449</v>
      </c>
      <c r="I12" s="877"/>
    </row>
    <row r="13" ht="70.5" customHeight="1">
      <c r="A13" s="834"/>
      <c r="B13" t="s" s="878">
        <f>CONCATENATE(IF(B12="","",IF(AND(B12&gt;=VLOOKUP('Planner Worksheet'!$G$16,'System Inputs'!$A$2:$Q$320,14,FALSE),B12&lt;=VLOOKUP('Planner Worksheet'!$G$16,'System Inputs'!$A$2:$Q$320,15,FALSE)),"* Detect Estrus &amp; Breed
",IF(AND(B12&gt;=VLOOKUP('Planner Worksheet'!$G$16,'System Inputs'!$A$2:$Q$320,16,FALSE),B12&lt;=VLOOKUP('Planner Worksheet'!$G$16,'System Inputs'!$A$2:$Q$320,17,FALSE)),"* MGA @ 0.5 mg/hd/day
",""))),IF(ISERROR(VLOOKUP(B12,'System Activities'!$H$2:$K$380,2,FALSE)),"",IF(B12="","",VLOOKUP(B12,'System Activities'!$H$2:$K$380,2,FALSE))),IF(ISERROR(VLOOKUP(B12,'System Activities'!$H$2:$K$380,3,FALSE)),"",IF(VLOOKUP(B12,'System Activities'!$H$2:$K$380,3,FALSE)="","",VLOOKUP(B12,'System Activities'!$H$2:$K$380,3,FALSE))),IF(ISERROR(VLOOKUP(B12,'System Activities'!$H$2:$K$380,4,FALSE)),"",IF(VLOOKUP(B12,'System Activities'!$H$2:$K$380,4,FALSE)="","",VLOOKUP(B12,'System Activities'!$H$2:$K$380,4,FALSE))))</f>
        <v>497</v>
      </c>
      <c r="C13" t="s" s="878">
        <f>CONCATENATE(IF(C12="","",IF(AND(C12&gt;=VLOOKUP('Planner Worksheet'!$G$16,'System Inputs'!$A$2:$Q$320,14,FALSE),C12&lt;=VLOOKUP('Planner Worksheet'!$G$16,'System Inputs'!$A$2:$Q$320,15,FALSE)),"* Detect Estrus &amp; Breed
",IF(AND(C12&gt;=VLOOKUP('Planner Worksheet'!$G$16,'System Inputs'!$A$2:$Q$320,16,FALSE),C12&lt;=VLOOKUP('Planner Worksheet'!$G$16,'System Inputs'!$A$2:$Q$320,17,FALSE)),"* MGA @ 0.5 mg/hd/day
",""))),IF(ISERROR(VLOOKUP(C12,'System Activities'!$H$2:$K$380,2,FALSE)),"",IF(C12="","",VLOOKUP(C12,'System Activities'!$H$2:$K$380,2,FALSE))),IF(ISERROR(VLOOKUP(C12,'System Activities'!$H$2:$K$380,3,FALSE)),"",IF(VLOOKUP(C12,'System Activities'!$H$2:$K$380,3,FALSE)="","",VLOOKUP(C12,'System Activities'!$H$2:$K$380,3,FALSE))),IF(ISERROR(VLOOKUP(C12,'System Activities'!$H$2:$K$380,4,FALSE)),"",IF(VLOOKUP(C12,'System Activities'!$H$2:$K$380,4,FALSE)="","",VLOOKUP(C12,'System Activities'!$H$2:$K$380,4,FALSE))))</f>
      </c>
      <c r="D13" t="s" s="878">
        <f>CONCATENATE(IF(D12="","",IF(AND(D12&gt;=VLOOKUP('Planner Worksheet'!$G$16,'System Inputs'!$A$2:$Q$320,14,FALSE),D12&lt;=VLOOKUP('Planner Worksheet'!$G$16,'System Inputs'!$A$2:$Q$320,15,FALSE)),"* Detect Estrus &amp; Breed
",IF(AND(D12&gt;=VLOOKUP('Planner Worksheet'!$G$16,'System Inputs'!$A$2:$Q$320,16,FALSE),D12&lt;=VLOOKUP('Planner Worksheet'!$G$16,'System Inputs'!$A$2:$Q$320,17,FALSE)),"* MGA @ 0.5 mg/hd/day
",""))),IF(ISERROR(VLOOKUP(D12,'System Activities'!$H$2:$K$380,2,FALSE)),"",IF(D12="","",VLOOKUP(D12,'System Activities'!$H$2:$K$380,2,FALSE))),IF(ISERROR(VLOOKUP(D12,'System Activities'!$H$2:$K$380,3,FALSE)),"",IF(VLOOKUP(D12,'System Activities'!$H$2:$K$380,3,FALSE)="","",VLOOKUP(D12,'System Activities'!$H$2:$K$380,3,FALSE))),IF(ISERROR(VLOOKUP(D12,'System Activities'!$H$2:$K$380,4,FALSE)),"",IF(VLOOKUP(D12,'System Activities'!$H$2:$K$380,4,FALSE)="","",VLOOKUP(D12,'System Activities'!$H$2:$K$380,4,FALSE))))</f>
      </c>
      <c r="E13" t="s" s="878">
        <f>CONCATENATE(IF(E12="","",IF(AND(E12&gt;=VLOOKUP('Planner Worksheet'!$G$16,'System Inputs'!$A$2:$Q$320,14,FALSE),E12&lt;=VLOOKUP('Planner Worksheet'!$G$16,'System Inputs'!$A$2:$Q$320,15,FALSE)),"* Detect Estrus &amp; Breed
",IF(AND(E12&gt;=VLOOKUP('Planner Worksheet'!$G$16,'System Inputs'!$A$2:$Q$320,16,FALSE),E12&lt;=VLOOKUP('Planner Worksheet'!$G$16,'System Inputs'!$A$2:$Q$320,17,FALSE)),"* MGA @ 0.5 mg/hd/day
",""))),IF(ISERROR(VLOOKUP(E12,'System Activities'!$H$2:$K$380,2,FALSE)),"",IF(E12="","",VLOOKUP(E12,'System Activities'!$H$2:$K$380,2,FALSE))),IF(ISERROR(VLOOKUP(E12,'System Activities'!$H$2:$K$380,3,FALSE)),"",IF(VLOOKUP(E12,'System Activities'!$H$2:$K$380,3,FALSE)="","",VLOOKUP(E12,'System Activities'!$H$2:$K$380,3,FALSE))),IF(ISERROR(VLOOKUP(E12,'System Activities'!$H$2:$K$380,4,FALSE)),"",IF(VLOOKUP(E12,'System Activities'!$H$2:$K$380,4,FALSE)="","",VLOOKUP(E12,'System Activities'!$H$2:$K$380,4,FALSE))))</f>
      </c>
      <c r="F13" t="s" s="878">
        <f>CONCATENATE(IF(F12="","",IF(AND(F12&gt;=VLOOKUP('Planner Worksheet'!$G$16,'System Inputs'!$A$2:$Q$320,14,FALSE),F12&lt;=VLOOKUP('Planner Worksheet'!$G$16,'System Inputs'!$A$2:$Q$320,15,FALSE)),"* Detect Estrus &amp; Breed
",IF(AND(F12&gt;=VLOOKUP('Planner Worksheet'!$G$16,'System Inputs'!$A$2:$Q$320,16,FALSE),F12&lt;=VLOOKUP('Planner Worksheet'!$G$16,'System Inputs'!$A$2:$Q$320,17,FALSE)),"* MGA @ 0.5 mg/hd/day
",""))),IF(ISERROR(VLOOKUP(F12,'System Activities'!$H$2:$K$380,2,FALSE)),"",IF(F12="","",VLOOKUP(F12,'System Activities'!$H$2:$K$380,2,FALSE))),IF(ISERROR(VLOOKUP(F12,'System Activities'!$H$2:$K$380,3,FALSE)),"",IF(VLOOKUP(F12,'System Activities'!$H$2:$K$380,3,FALSE)="","",VLOOKUP(F12,'System Activities'!$H$2:$K$380,3,FALSE))),IF(ISERROR(VLOOKUP(F12,'System Activities'!$H$2:$K$380,4,FALSE)),"",IF(VLOOKUP(F12,'System Activities'!$H$2:$K$380,4,FALSE)="","",VLOOKUP(F12,'System Activities'!$H$2:$K$380,4,FALSE))))</f>
      </c>
      <c r="G13" t="s" s="878">
        <f>CONCATENATE(IF(G12="","",IF(AND(G12&gt;=VLOOKUP('Planner Worksheet'!$G$16,'System Inputs'!$A$2:$Q$320,14,FALSE),G12&lt;=VLOOKUP('Planner Worksheet'!$G$16,'System Inputs'!$A$2:$Q$320,15,FALSE)),"* Detect Estrus &amp; Breed
",IF(AND(G12&gt;=VLOOKUP('Planner Worksheet'!$G$16,'System Inputs'!$A$2:$Q$320,16,FALSE),G12&lt;=VLOOKUP('Planner Worksheet'!$G$16,'System Inputs'!$A$2:$Q$320,17,FALSE)),"* MGA @ 0.5 mg/hd/day
",""))),IF(ISERROR(VLOOKUP(G12,'System Activities'!$H$2:$K$380,2,FALSE)),"",IF(G12="","",VLOOKUP(G12,'System Activities'!$H$2:$K$380,2,FALSE))),IF(ISERROR(VLOOKUP(G12,'System Activities'!$H$2:$K$380,3,FALSE)),"",IF(VLOOKUP(G12,'System Activities'!$H$2:$K$380,3,FALSE)="","",VLOOKUP(G12,'System Activities'!$H$2:$K$380,3,FALSE))),IF(ISERROR(VLOOKUP(G12,'System Activities'!$H$2:$K$380,4,FALSE)),"",IF(VLOOKUP(G12,'System Activities'!$H$2:$K$380,4,FALSE)="","",VLOOKUP(G12,'System Activities'!$H$2:$K$380,4,FALSE))))</f>
        <v>498</v>
      </c>
      <c r="H13" t="s" s="879">
        <f>CONCATENATE(IF(H12="","",IF(AND(H12&gt;=VLOOKUP('Planner Worksheet'!$G$16,'System Inputs'!$A$2:$Q$320,14,FALSE),H12&lt;=VLOOKUP('Planner Worksheet'!$G$16,'System Inputs'!$A$2:$Q$320,15,FALSE)),"* Detect Estrus &amp; Breed
",IF(AND(H12&gt;=VLOOKUP('Planner Worksheet'!$G$16,'System Inputs'!$A$2:$Q$320,16,FALSE),H12&lt;=VLOOKUP('Planner Worksheet'!$G$16,'System Inputs'!$A$2:$Q$320,17,FALSE)),"* MGA @ 0.5 mg/hd/day
",""))),IF(ISERROR(VLOOKUP(H12,'System Activities'!$H$2:$K$380,2,FALSE)),"",IF(H12="","",VLOOKUP(H12,'System Activities'!$H$2:$K$380,2,FALSE))),IF(ISERROR(VLOOKUP(H12,'System Activities'!$H$2:$K$380,3,FALSE)),"",IF(VLOOKUP(H12,'System Activities'!$H$2:$K$380,3,FALSE)="","",VLOOKUP(H12,'System Activities'!$H$2:$K$380,3,FALSE))),IF(ISERROR(VLOOKUP(H12,'System Activities'!$H$2:$K$380,4,FALSE)),"",IF(VLOOKUP(H12,'System Activities'!$H$2:$K$380,4,FALSE)="","",VLOOKUP(H12,'System Activities'!$H$2:$K$380,4,FALSE))))</f>
      </c>
      <c r="I13" s="880"/>
    </row>
    <row r="14" ht="15.75" customHeight="1">
      <c r="A14" s="834"/>
      <c r="B14" s="875">
        <f>IF(H12="","",IF(H12+1&gt;MAX('Planner Worksheet'!$B$100,'Planner Worksheet'!$B$95,'Planner Worksheet'!$B$90,'Planner Worksheet'!$B$86,'Planner Worksheet'!$B$81,'Planner Worksheet'!$B$76,'Planner Worksheet'!$B$71,'Planner Worksheet'!$B$66,'Planner Worksheet'!$B$62),"",H12+1))</f>
        <v>43450</v>
      </c>
      <c r="C14" s="876">
        <f>IF(B14="","",B14+1)</f>
        <v>43451</v>
      </c>
      <c r="D14" s="876">
        <f>IF(C14="","",C14+1)</f>
        <v>43452</v>
      </c>
      <c r="E14" s="876">
        <f>IF(D14="","",D14+1)</f>
        <v>43453</v>
      </c>
      <c r="F14" s="876">
        <f>IF(E14="","",E14+1)</f>
        <v>43454</v>
      </c>
      <c r="G14" s="876">
        <f>IF(F14="","",F14+1)</f>
        <v>43455</v>
      </c>
      <c r="H14" s="876">
        <f>IF(G14="","",G14+1)</f>
        <v>43456</v>
      </c>
      <c r="I14" s="877"/>
    </row>
    <row r="15" ht="70.5" customHeight="1">
      <c r="A15" s="834"/>
      <c r="B15" t="s" s="878">
        <f>CONCATENATE(IF(B14="","",IF(AND(B14&gt;=VLOOKUP('Planner Worksheet'!$G$16,'System Inputs'!$A$2:$Q$320,14,FALSE),B14&lt;=VLOOKUP('Planner Worksheet'!$G$16,'System Inputs'!$A$2:$Q$320,15,FALSE)),"* Detect Estrus &amp; Breed
",IF(AND(B14&gt;=VLOOKUP('Planner Worksheet'!$G$16,'System Inputs'!$A$2:$Q$320,16,FALSE),B14&lt;=VLOOKUP('Planner Worksheet'!$G$16,'System Inputs'!$A$2:$Q$320,17,FALSE)),"* MGA @ 0.5 mg/hd/day
",""))),IF(ISERROR(VLOOKUP(B14,'System Activities'!$H$2:$K$380,2,FALSE)),"",IF(B14="","",VLOOKUP(B14,'System Activities'!$H$2:$K$380,2,FALSE))),IF(ISERROR(VLOOKUP(B14,'System Activities'!$H$2:$K$380,3,FALSE)),"",IF(VLOOKUP(B14,'System Activities'!$H$2:$K$380,3,FALSE)="","",VLOOKUP(B14,'System Activities'!$H$2:$K$380,3,FALSE))),IF(ISERROR(VLOOKUP(B14,'System Activities'!$H$2:$K$380,4,FALSE)),"",IF(VLOOKUP(B14,'System Activities'!$H$2:$K$380,4,FALSE)="","",VLOOKUP(B14,'System Activities'!$H$2:$K$380,4,FALSE))))</f>
      </c>
      <c r="C15" t="s" s="878">
        <f>CONCATENATE(IF(C14="","",IF(AND(C14&gt;=VLOOKUP('Planner Worksheet'!$G$16,'System Inputs'!$A$2:$Q$320,14,FALSE),C14&lt;=VLOOKUP('Planner Worksheet'!$G$16,'System Inputs'!$A$2:$Q$320,15,FALSE)),"* Detect Estrus &amp; Breed
",IF(AND(C14&gt;=VLOOKUP('Planner Worksheet'!$G$16,'System Inputs'!$A$2:$Q$320,16,FALSE),C14&lt;=VLOOKUP('Planner Worksheet'!$G$16,'System Inputs'!$A$2:$Q$320,17,FALSE)),"* MGA @ 0.5 mg/hd/day
",""))),IF(ISERROR(VLOOKUP(C14,'System Activities'!$H$2:$K$380,2,FALSE)),"",IF(C14="","",VLOOKUP(C14,'System Activities'!$H$2:$K$380,2,FALSE))),IF(ISERROR(VLOOKUP(C14,'System Activities'!$H$2:$K$380,3,FALSE)),"",IF(VLOOKUP(C14,'System Activities'!$H$2:$K$380,3,FALSE)="","",VLOOKUP(C14,'System Activities'!$H$2:$K$380,3,FALSE))),IF(ISERROR(VLOOKUP(C14,'System Activities'!$H$2:$K$380,4,FALSE)),"",IF(VLOOKUP(C14,'System Activities'!$H$2:$K$380,4,FALSE)="","",VLOOKUP(C14,'System Activities'!$H$2:$K$380,4,FALSE))))</f>
        <v>499</v>
      </c>
      <c r="D15" t="s" s="878">
        <f>CONCATENATE(IF(D14="","",IF(AND(D14&gt;=VLOOKUP('Planner Worksheet'!$G$16,'System Inputs'!$A$2:$Q$320,14,FALSE),D14&lt;=VLOOKUP('Planner Worksheet'!$G$16,'System Inputs'!$A$2:$Q$320,15,FALSE)),"* Detect Estrus &amp; Breed
",IF(AND(D14&gt;=VLOOKUP('Planner Worksheet'!$G$16,'System Inputs'!$A$2:$Q$320,16,FALSE),D14&lt;=VLOOKUP('Planner Worksheet'!$G$16,'System Inputs'!$A$2:$Q$320,17,FALSE)),"* MGA @ 0.5 mg/hd/day
",""))),IF(ISERROR(VLOOKUP(D14,'System Activities'!$H$2:$K$380,2,FALSE)),"",IF(D14="","",VLOOKUP(D14,'System Activities'!$H$2:$K$380,2,FALSE))),IF(ISERROR(VLOOKUP(D14,'System Activities'!$H$2:$K$380,3,FALSE)),"",IF(VLOOKUP(D14,'System Activities'!$H$2:$K$380,3,FALSE)="","",VLOOKUP(D14,'System Activities'!$H$2:$K$380,3,FALSE))),IF(ISERROR(VLOOKUP(D14,'System Activities'!$H$2:$K$380,4,FALSE)),"",IF(VLOOKUP(D14,'System Activities'!$H$2:$K$380,4,FALSE)="","",VLOOKUP(D14,'System Activities'!$H$2:$K$380,4,FALSE))))</f>
      </c>
      <c r="E15" t="s" s="878">
        <f>CONCATENATE(IF(E14="","",IF(AND(E14&gt;=VLOOKUP('Planner Worksheet'!$G$16,'System Inputs'!$A$2:$Q$320,14,FALSE),E14&lt;=VLOOKUP('Planner Worksheet'!$G$16,'System Inputs'!$A$2:$Q$320,15,FALSE)),"* Detect Estrus &amp; Breed
",IF(AND(E14&gt;=VLOOKUP('Planner Worksheet'!$G$16,'System Inputs'!$A$2:$Q$320,16,FALSE),E14&lt;=VLOOKUP('Planner Worksheet'!$G$16,'System Inputs'!$A$2:$Q$320,17,FALSE)),"* MGA @ 0.5 mg/hd/day
",""))),IF(ISERROR(VLOOKUP(E14,'System Activities'!$H$2:$K$380,2,FALSE)),"",IF(E14="","",VLOOKUP(E14,'System Activities'!$H$2:$K$380,2,FALSE))),IF(ISERROR(VLOOKUP(E14,'System Activities'!$H$2:$K$380,3,FALSE)),"",IF(VLOOKUP(E14,'System Activities'!$H$2:$K$380,3,FALSE)="","",VLOOKUP(E14,'System Activities'!$H$2:$K$380,3,FALSE))),IF(ISERROR(VLOOKUP(E14,'System Activities'!$H$2:$K$380,4,FALSE)),"",IF(VLOOKUP(E14,'System Activities'!$H$2:$K$380,4,FALSE)="","",VLOOKUP(E14,'System Activities'!$H$2:$K$380,4,FALSE))))</f>
      </c>
      <c r="F15" t="s" s="878">
        <f>CONCATENATE(IF(F14="","",IF(AND(F14&gt;=VLOOKUP('Planner Worksheet'!$G$16,'System Inputs'!$A$2:$Q$320,14,FALSE),F14&lt;=VLOOKUP('Planner Worksheet'!$G$16,'System Inputs'!$A$2:$Q$320,15,FALSE)),"* Detect Estrus &amp; Breed
",IF(AND(F14&gt;=VLOOKUP('Planner Worksheet'!$G$16,'System Inputs'!$A$2:$Q$320,16,FALSE),F14&lt;=VLOOKUP('Planner Worksheet'!$G$16,'System Inputs'!$A$2:$Q$320,17,FALSE)),"* MGA @ 0.5 mg/hd/day
",""))),IF(ISERROR(VLOOKUP(F14,'System Activities'!$H$2:$K$380,2,FALSE)),"",IF(F14="","",VLOOKUP(F14,'System Activities'!$H$2:$K$380,2,FALSE))),IF(ISERROR(VLOOKUP(F14,'System Activities'!$H$2:$K$380,3,FALSE)),"",IF(VLOOKUP(F14,'System Activities'!$H$2:$K$380,3,FALSE)="","",VLOOKUP(F14,'System Activities'!$H$2:$K$380,3,FALSE))),IF(ISERROR(VLOOKUP(F14,'System Activities'!$H$2:$K$380,4,FALSE)),"",IF(VLOOKUP(F14,'System Activities'!$H$2:$K$380,4,FALSE)="","",VLOOKUP(F14,'System Activities'!$H$2:$K$380,4,FALSE))))</f>
      </c>
      <c r="G15" t="s" s="878">
        <f>CONCATENATE(IF(G14="","",IF(AND(G14&gt;=VLOOKUP('Planner Worksheet'!$G$16,'System Inputs'!$A$2:$Q$320,14,FALSE),G14&lt;=VLOOKUP('Planner Worksheet'!$G$16,'System Inputs'!$A$2:$Q$320,15,FALSE)),"* Detect Estrus &amp; Breed
",IF(AND(G14&gt;=VLOOKUP('Planner Worksheet'!$G$16,'System Inputs'!$A$2:$Q$320,16,FALSE),G14&lt;=VLOOKUP('Planner Worksheet'!$G$16,'System Inputs'!$A$2:$Q$320,17,FALSE)),"* MGA @ 0.5 mg/hd/day
",""))),IF(ISERROR(VLOOKUP(G14,'System Activities'!$H$2:$K$380,2,FALSE)),"",IF(G14="","",VLOOKUP(G14,'System Activities'!$H$2:$K$380,2,FALSE))),IF(ISERROR(VLOOKUP(G14,'System Activities'!$H$2:$K$380,3,FALSE)),"",IF(VLOOKUP(G14,'System Activities'!$H$2:$K$380,3,FALSE)="","",VLOOKUP(G14,'System Activities'!$H$2:$K$380,3,FALSE))),IF(ISERROR(VLOOKUP(G14,'System Activities'!$H$2:$K$380,4,FALSE)),"",IF(VLOOKUP(G14,'System Activities'!$H$2:$K$380,4,FALSE)="","",VLOOKUP(G14,'System Activities'!$H$2:$K$380,4,FALSE))))</f>
      </c>
      <c r="H15" t="s" s="879">
        <f>CONCATENATE(IF(H14="","",IF(AND(H14&gt;=VLOOKUP('Planner Worksheet'!$G$16,'System Inputs'!$A$2:$Q$320,14,FALSE),H14&lt;=VLOOKUP('Planner Worksheet'!$G$16,'System Inputs'!$A$2:$Q$320,15,FALSE)),"* Detect Estrus &amp; Breed
",IF(AND(H14&gt;=VLOOKUP('Planner Worksheet'!$G$16,'System Inputs'!$A$2:$Q$320,16,FALSE),H14&lt;=VLOOKUP('Planner Worksheet'!$G$16,'System Inputs'!$A$2:$Q$320,17,FALSE)),"* MGA @ 0.5 mg/hd/day
",""))),IF(ISERROR(VLOOKUP(H14,'System Activities'!$H$2:$K$380,2,FALSE)),"",IF(H14="","",VLOOKUP(H14,'System Activities'!$H$2:$K$380,2,FALSE))),IF(ISERROR(VLOOKUP(H14,'System Activities'!$H$2:$K$380,3,FALSE)),"",IF(VLOOKUP(H14,'System Activities'!$H$2:$K$380,3,FALSE)="","",VLOOKUP(H14,'System Activities'!$H$2:$K$380,3,FALSE))),IF(ISERROR(VLOOKUP(H14,'System Activities'!$H$2:$K$380,4,FALSE)),"",IF(VLOOKUP(H14,'System Activities'!$H$2:$K$380,4,FALSE)="","",VLOOKUP(H14,'System Activities'!$H$2:$K$380,4,FALSE))))</f>
      </c>
      <c r="I15" s="880"/>
    </row>
    <row r="16" ht="15.75" customHeight="1">
      <c r="A16" s="834"/>
      <c r="B16" s="875">
        <f>IF(H14="","",IF(H14+1&gt;MAX('Planner Worksheet'!$B$100,'Planner Worksheet'!$B$95,'Planner Worksheet'!$B$90,'Planner Worksheet'!$B$86,'Planner Worksheet'!$B$81,'Planner Worksheet'!$B$76,'Planner Worksheet'!$B$71,'Planner Worksheet'!$B$66,'Planner Worksheet'!$B$62),"",H14+1))</f>
        <v>43457</v>
      </c>
      <c r="C16" s="876">
        <f>IF(B16="","",B16+1)</f>
        <v>43458</v>
      </c>
      <c r="D16" s="876">
        <f>IF(C16="","",C16+1)</f>
        <v>43459</v>
      </c>
      <c r="E16" s="876">
        <f>IF(D16="","",D16+1)</f>
        <v>43460</v>
      </c>
      <c r="F16" s="876">
        <f>IF(E16="","",E16+1)</f>
        <v>43461</v>
      </c>
      <c r="G16" s="876">
        <f>IF(F16="","",F16+1)</f>
        <v>43462</v>
      </c>
      <c r="H16" s="881">
        <f>IF(G16="","",G16+1)</f>
        <v>43463</v>
      </c>
      <c r="I16" s="865"/>
    </row>
    <row r="17" ht="70.5" customHeight="1">
      <c r="A17" s="834"/>
      <c r="B17" t="s" s="878">
        <f>CONCATENATE(IF(B16="","",IF(AND(B16&gt;=VLOOKUP('Planner Worksheet'!$G$16,'System Inputs'!$A$2:$Q$320,14,FALSE),B16&lt;=VLOOKUP('Planner Worksheet'!$G$16,'System Inputs'!$A$2:$Q$320,15,FALSE)),"* Detect Estrus &amp; Breed
",IF(AND(B16&gt;=VLOOKUP('Planner Worksheet'!$G$16,'System Inputs'!$A$2:$Q$320,16,FALSE),B16&lt;=VLOOKUP('Planner Worksheet'!$G$16,'System Inputs'!$A$2:$Q$320,17,FALSE)),"* MGA @ 0.5 mg/hd/day
",""))),IF(ISERROR(VLOOKUP(B16,'System Activities'!$H$2:$K$380,2,FALSE)),"",IF(B16="","",VLOOKUP(B16,'System Activities'!$H$2:$K$380,2,FALSE))),IF(ISERROR(VLOOKUP(B16,'System Activities'!$H$2:$K$380,3,FALSE)),"",IF(VLOOKUP(B16,'System Activities'!$H$2:$K$380,3,FALSE)="","",VLOOKUP(B16,'System Activities'!$H$2:$K$380,3,FALSE))),IF(ISERROR(VLOOKUP(B16,'System Activities'!$H$2:$K$380,4,FALSE)),"",IF(VLOOKUP(B16,'System Activities'!$H$2:$K$380,4,FALSE)="","",VLOOKUP(B16,'System Activities'!$H$2:$K$380,4,FALSE))))</f>
      </c>
      <c r="C17" t="s" s="878">
        <f>CONCATENATE(IF(C16="","",IF(AND(C16&gt;=VLOOKUP('Planner Worksheet'!$G$16,'System Inputs'!$A$2:$Q$320,14,FALSE),C16&lt;=VLOOKUP('Planner Worksheet'!$G$16,'System Inputs'!$A$2:$Q$320,15,FALSE)),"* Detect Estrus &amp; Breed
",IF(AND(C16&gt;=VLOOKUP('Planner Worksheet'!$G$16,'System Inputs'!$A$2:$Q$320,16,FALSE),C16&lt;=VLOOKUP('Planner Worksheet'!$G$16,'System Inputs'!$A$2:$Q$320,17,FALSE)),"* MGA @ 0.5 mg/hd/day
",""))),IF(ISERROR(VLOOKUP(C16,'System Activities'!$H$2:$K$380,2,FALSE)),"",IF(C16="","",VLOOKUP(C16,'System Activities'!$H$2:$K$380,2,FALSE))),IF(ISERROR(VLOOKUP(C16,'System Activities'!$H$2:$K$380,3,FALSE)),"",IF(VLOOKUP(C16,'System Activities'!$H$2:$K$380,3,FALSE)="","",VLOOKUP(C16,'System Activities'!$H$2:$K$380,3,FALSE))),IF(ISERROR(VLOOKUP(C16,'System Activities'!$H$2:$K$380,4,FALSE)),"",IF(VLOOKUP(C16,'System Activities'!$H$2:$K$380,4,FALSE)="","",VLOOKUP(C16,'System Activities'!$H$2:$K$380,4,FALSE))))</f>
      </c>
      <c r="D17" t="s" s="878">
        <f>CONCATENATE(IF(D16="","",IF(AND(D16&gt;=VLOOKUP('Planner Worksheet'!$G$16,'System Inputs'!$A$2:$Q$320,14,FALSE),D16&lt;=VLOOKUP('Planner Worksheet'!$G$16,'System Inputs'!$A$2:$Q$320,15,FALSE)),"* Detect Estrus &amp; Breed
",IF(AND(D16&gt;=VLOOKUP('Planner Worksheet'!$G$16,'System Inputs'!$A$2:$Q$320,16,FALSE),D16&lt;=VLOOKUP('Planner Worksheet'!$G$16,'System Inputs'!$A$2:$Q$320,17,FALSE)),"* MGA @ 0.5 mg/hd/day
",""))),IF(ISERROR(VLOOKUP(D16,'System Activities'!$H$2:$K$380,2,FALSE)),"",IF(D16="","",VLOOKUP(D16,'System Activities'!$H$2:$K$380,2,FALSE))),IF(ISERROR(VLOOKUP(D16,'System Activities'!$H$2:$K$380,3,FALSE)),"",IF(VLOOKUP(D16,'System Activities'!$H$2:$K$380,3,FALSE)="","",VLOOKUP(D16,'System Activities'!$H$2:$K$380,3,FALSE))),IF(ISERROR(VLOOKUP(D16,'System Activities'!$H$2:$K$380,4,FALSE)),"",IF(VLOOKUP(D16,'System Activities'!$H$2:$K$380,4,FALSE)="","",VLOOKUP(D16,'System Activities'!$H$2:$K$380,4,FALSE))))</f>
      </c>
      <c r="E17" t="s" s="878">
        <f>CONCATENATE(IF(E16="","",IF(AND(E16&gt;=VLOOKUP('Planner Worksheet'!$G$16,'System Inputs'!$A$2:$Q$320,14,FALSE),E16&lt;=VLOOKUP('Planner Worksheet'!$G$16,'System Inputs'!$A$2:$Q$320,15,FALSE)),"* Detect Estrus &amp; Breed
",IF(AND(E16&gt;=VLOOKUP('Planner Worksheet'!$G$16,'System Inputs'!$A$2:$Q$320,16,FALSE),E16&lt;=VLOOKUP('Planner Worksheet'!$G$16,'System Inputs'!$A$2:$Q$320,17,FALSE)),"* MGA @ 0.5 mg/hd/day
",""))),IF(ISERROR(VLOOKUP(E16,'System Activities'!$H$2:$K$380,2,FALSE)),"",IF(E16="","",VLOOKUP(E16,'System Activities'!$H$2:$K$380,2,FALSE))),IF(ISERROR(VLOOKUP(E16,'System Activities'!$H$2:$K$380,3,FALSE)),"",IF(VLOOKUP(E16,'System Activities'!$H$2:$K$380,3,FALSE)="","",VLOOKUP(E16,'System Activities'!$H$2:$K$380,3,FALSE))),IF(ISERROR(VLOOKUP(E16,'System Activities'!$H$2:$K$380,4,FALSE)),"",IF(VLOOKUP(E16,'System Activities'!$H$2:$K$380,4,FALSE)="","",VLOOKUP(E16,'System Activities'!$H$2:$K$380,4,FALSE))))</f>
      </c>
      <c r="F17" t="s" s="878">
        <f>CONCATENATE(IF(F16="","",IF(AND(F16&gt;=VLOOKUP('Planner Worksheet'!$G$16,'System Inputs'!$A$2:$Q$320,14,FALSE),F16&lt;=VLOOKUP('Planner Worksheet'!$G$16,'System Inputs'!$A$2:$Q$320,15,FALSE)),"* Detect Estrus &amp; Breed
",IF(AND(F16&gt;=VLOOKUP('Planner Worksheet'!$G$16,'System Inputs'!$A$2:$Q$320,16,FALSE),F16&lt;=VLOOKUP('Planner Worksheet'!$G$16,'System Inputs'!$A$2:$Q$320,17,FALSE)),"* MGA @ 0.5 mg/hd/day
",""))),IF(ISERROR(VLOOKUP(F16,'System Activities'!$H$2:$K$380,2,FALSE)),"",IF(F16="","",VLOOKUP(F16,'System Activities'!$H$2:$K$380,2,FALSE))),IF(ISERROR(VLOOKUP(F16,'System Activities'!$H$2:$K$380,3,FALSE)),"",IF(VLOOKUP(F16,'System Activities'!$H$2:$K$380,3,FALSE)="","",VLOOKUP(F16,'System Activities'!$H$2:$K$380,3,FALSE))),IF(ISERROR(VLOOKUP(F16,'System Activities'!$H$2:$K$380,4,FALSE)),"",IF(VLOOKUP(F16,'System Activities'!$H$2:$K$380,4,FALSE)="","",VLOOKUP(F16,'System Activities'!$H$2:$K$380,4,FALSE))))</f>
      </c>
      <c r="G17" t="s" s="878">
        <f>CONCATENATE(IF(G16="","",IF(AND(G16&gt;=VLOOKUP('Planner Worksheet'!$G$16,'System Inputs'!$A$2:$Q$320,14,FALSE),G16&lt;=VLOOKUP('Planner Worksheet'!$G$16,'System Inputs'!$A$2:$Q$320,15,FALSE)),"* Detect Estrus &amp; Breed
",IF(AND(G16&gt;=VLOOKUP('Planner Worksheet'!$G$16,'System Inputs'!$A$2:$Q$320,16,FALSE),G16&lt;=VLOOKUP('Planner Worksheet'!$G$16,'System Inputs'!$A$2:$Q$320,17,FALSE)),"* MGA @ 0.5 mg/hd/day
",""))),IF(ISERROR(VLOOKUP(G16,'System Activities'!$H$2:$K$380,2,FALSE)),"",IF(G16="","",VLOOKUP(G16,'System Activities'!$H$2:$K$380,2,FALSE))),IF(ISERROR(VLOOKUP(G16,'System Activities'!$H$2:$K$380,3,FALSE)),"",IF(VLOOKUP(G16,'System Activities'!$H$2:$K$380,3,FALSE)="","",VLOOKUP(G16,'System Activities'!$H$2:$K$380,3,FALSE))),IF(ISERROR(VLOOKUP(G16,'System Activities'!$H$2:$K$380,4,FALSE)),"",IF(VLOOKUP(G16,'System Activities'!$H$2:$K$380,4,FALSE)="","",VLOOKUP(G16,'System Activities'!$H$2:$K$380,4,FALSE))))</f>
      </c>
      <c r="H17" t="s" s="879">
        <f>CONCATENATE(IF(H16="","",IF(AND(H16&gt;=VLOOKUP('Planner Worksheet'!$G$16,'System Inputs'!$A$2:$Q$320,14,FALSE),H16&lt;=VLOOKUP('Planner Worksheet'!$G$16,'System Inputs'!$A$2:$Q$320,15,FALSE)),"* Detect Estrus &amp; Breed
",IF(AND(H16&gt;=VLOOKUP('Planner Worksheet'!$G$16,'System Inputs'!$A$2:$Q$320,16,FALSE),H16&lt;=VLOOKUP('Planner Worksheet'!$G$16,'System Inputs'!$A$2:$Q$320,17,FALSE)),"* MGA @ 0.5 mg/hd/day
",""))),IF(ISERROR(VLOOKUP(H16,'System Activities'!$H$2:$K$380,2,FALSE)),"",IF(H16="","",VLOOKUP(H16,'System Activities'!$H$2:$K$380,2,FALSE))),IF(ISERROR(VLOOKUP(H16,'System Activities'!$H$2:$K$380,3,FALSE)),"",IF(VLOOKUP(H16,'System Activities'!$H$2:$K$380,3,FALSE)="","",VLOOKUP(H16,'System Activities'!$H$2:$K$380,3,FALSE))),IF(ISERROR(VLOOKUP(H16,'System Activities'!$H$2:$K$380,4,FALSE)),"",IF(VLOOKUP(H16,'System Activities'!$H$2:$K$380,4,FALSE)="","",VLOOKUP(H16,'System Activities'!$H$2:$K$380,4,FALSE))))</f>
      </c>
      <c r="I17" s="877"/>
    </row>
    <row r="18" ht="15.75" customHeight="1">
      <c r="A18" s="834"/>
      <c r="B18" s="875">
        <f>IF(H16="","",IF(H16+1&gt;MAX('Planner Worksheet'!$B$100,'Planner Worksheet'!$B$95,'Planner Worksheet'!$B$90,'Planner Worksheet'!$B$86,'Planner Worksheet'!$B$81,'Planner Worksheet'!$B$76,'Planner Worksheet'!$B$71,'Planner Worksheet'!$B$66,'Planner Worksheet'!$B$62),"",H16+1))</f>
        <v>43464</v>
      </c>
      <c r="C18" s="876">
        <f>IF(B18="","",B18+1)</f>
        <v>43465</v>
      </c>
      <c r="D18" s="876">
        <f>IF(C18="","",C18+1)</f>
        <v>43466</v>
      </c>
      <c r="E18" s="876">
        <f>IF(D18="","",D18+1)</f>
        <v>43467</v>
      </c>
      <c r="F18" s="876">
        <f>IF(E18="","",E18+1)</f>
        <v>43468</v>
      </c>
      <c r="G18" s="876">
        <f>IF(F18="","",F18+1)</f>
        <v>43469</v>
      </c>
      <c r="H18" s="881">
        <f>IF(G18="","",G18+1)</f>
        <v>43470</v>
      </c>
      <c r="I18" s="865"/>
    </row>
    <row r="19" ht="70.5" customHeight="1">
      <c r="A19" s="834"/>
      <c r="B19" t="s" s="878">
        <f>CONCATENATE(IF(B18="","",IF(AND(B18&gt;=VLOOKUP('Planner Worksheet'!$G$16,'System Inputs'!$A$2:$Q$320,14,FALSE),B18&lt;=VLOOKUP('Planner Worksheet'!$G$16,'System Inputs'!$A$2:$Q$320,15,FALSE)),"* Detect Estrus &amp; Breed
",IF(AND(B18&gt;=VLOOKUP('Planner Worksheet'!$G$16,'System Inputs'!$A$2:$Q$320,16,FALSE),B18&lt;=VLOOKUP('Planner Worksheet'!$G$16,'System Inputs'!$A$2:$Q$320,17,FALSE)),"* MGA @ 0.5 mg/hd/day
",""))),IF(ISERROR(VLOOKUP(B18,'System Activities'!$H$2:$K$380,2,FALSE)),"",IF(B18="","",VLOOKUP(B18,'System Activities'!$H$2:$K$380,2,FALSE))),IF(ISERROR(VLOOKUP(B18,'System Activities'!$H$2:$K$380,3,FALSE)),"",IF(VLOOKUP(B18,'System Activities'!$H$2:$K$380,3,FALSE)="","",VLOOKUP(B18,'System Activities'!$H$2:$K$380,3,FALSE))),IF(ISERROR(VLOOKUP(B18,'System Activities'!$H$2:$K$380,4,FALSE)),"",IF(VLOOKUP(B18,'System Activities'!$H$2:$K$380,4,FALSE)="","",VLOOKUP(B18,'System Activities'!$H$2:$K$380,4,FALSE))))</f>
      </c>
      <c r="C19" t="s" s="878">
        <f>CONCATENATE(IF(C18="","",IF(AND(C18&gt;=VLOOKUP('Planner Worksheet'!$G$16,'System Inputs'!$A$2:$Q$320,14,FALSE),C18&lt;=VLOOKUP('Planner Worksheet'!$G$16,'System Inputs'!$A$2:$Q$320,15,FALSE)),"* Detect Estrus &amp; Breed
",IF(AND(C18&gt;=VLOOKUP('Planner Worksheet'!$G$16,'System Inputs'!$A$2:$Q$320,16,FALSE),C18&lt;=VLOOKUP('Planner Worksheet'!$G$16,'System Inputs'!$A$2:$Q$320,17,FALSE)),"* MGA @ 0.5 mg/hd/day
",""))),IF(ISERROR(VLOOKUP(C18,'System Activities'!$H$2:$K$380,2,FALSE)),"",IF(C18="","",VLOOKUP(C18,'System Activities'!$H$2:$K$380,2,FALSE))),IF(ISERROR(VLOOKUP(C18,'System Activities'!$H$2:$K$380,3,FALSE)),"",IF(VLOOKUP(C18,'System Activities'!$H$2:$K$380,3,FALSE)="","",VLOOKUP(C18,'System Activities'!$H$2:$K$380,3,FALSE))),IF(ISERROR(VLOOKUP(C18,'System Activities'!$H$2:$K$380,4,FALSE)),"",IF(VLOOKUP(C18,'System Activities'!$H$2:$K$380,4,FALSE)="","",VLOOKUP(C18,'System Activities'!$H$2:$K$380,4,FALSE))))</f>
      </c>
      <c r="D19" t="s" s="878">
        <f>CONCATENATE(IF(D18="","",IF(AND(D18&gt;=VLOOKUP('Planner Worksheet'!$G$16,'System Inputs'!$A$2:$Q$320,14,FALSE),D18&lt;=VLOOKUP('Planner Worksheet'!$G$16,'System Inputs'!$A$2:$Q$320,15,FALSE)),"* Detect Estrus &amp; Breed
",IF(AND(D18&gt;=VLOOKUP('Planner Worksheet'!$G$16,'System Inputs'!$A$2:$Q$320,16,FALSE),D18&lt;=VLOOKUP('Planner Worksheet'!$G$16,'System Inputs'!$A$2:$Q$320,17,FALSE)),"* MGA @ 0.5 mg/hd/day
",""))),IF(ISERROR(VLOOKUP(D18,'System Activities'!$H$2:$K$380,2,FALSE)),"",IF(D18="","",VLOOKUP(D18,'System Activities'!$H$2:$K$380,2,FALSE))),IF(ISERROR(VLOOKUP(D18,'System Activities'!$H$2:$K$380,3,FALSE)),"",IF(VLOOKUP(D18,'System Activities'!$H$2:$K$380,3,FALSE)="","",VLOOKUP(D18,'System Activities'!$H$2:$K$380,3,FALSE))),IF(ISERROR(VLOOKUP(D18,'System Activities'!$H$2:$K$380,4,FALSE)),"",IF(VLOOKUP(D18,'System Activities'!$H$2:$K$380,4,FALSE)="","",VLOOKUP(D18,'System Activities'!$H$2:$K$380,4,FALSE))))</f>
      </c>
      <c r="E19" t="s" s="878">
        <f>CONCATENATE(IF(E18="","",IF(AND(E18&gt;=VLOOKUP('Planner Worksheet'!$G$16,'System Inputs'!$A$2:$Q$320,14,FALSE),E18&lt;=VLOOKUP('Planner Worksheet'!$G$16,'System Inputs'!$A$2:$Q$320,15,FALSE)),"* Detect Estrus &amp; Breed
",IF(AND(E18&gt;=VLOOKUP('Planner Worksheet'!$G$16,'System Inputs'!$A$2:$Q$320,16,FALSE),E18&lt;=VLOOKUP('Planner Worksheet'!$G$16,'System Inputs'!$A$2:$Q$320,17,FALSE)),"* MGA @ 0.5 mg/hd/day
",""))),IF(ISERROR(VLOOKUP(E18,'System Activities'!$H$2:$K$380,2,FALSE)),"",IF(E18="","",VLOOKUP(E18,'System Activities'!$H$2:$K$380,2,FALSE))),IF(ISERROR(VLOOKUP(E18,'System Activities'!$H$2:$K$380,3,FALSE)),"",IF(VLOOKUP(E18,'System Activities'!$H$2:$K$380,3,FALSE)="","",VLOOKUP(E18,'System Activities'!$H$2:$K$380,3,FALSE))),IF(ISERROR(VLOOKUP(E18,'System Activities'!$H$2:$K$380,4,FALSE)),"",IF(VLOOKUP(E18,'System Activities'!$H$2:$K$380,4,FALSE)="","",VLOOKUP(E18,'System Activities'!$H$2:$K$380,4,FALSE))))</f>
      </c>
      <c r="F19" t="s" s="878">
        <f>CONCATENATE(IF(F18="","",IF(AND(F18&gt;=VLOOKUP('Planner Worksheet'!$G$16,'System Inputs'!$A$2:$Q$320,14,FALSE),F18&lt;=VLOOKUP('Planner Worksheet'!$G$16,'System Inputs'!$A$2:$Q$320,15,FALSE)),"* Detect Estrus &amp; Breed
",IF(AND(F18&gt;=VLOOKUP('Planner Worksheet'!$G$16,'System Inputs'!$A$2:$Q$320,16,FALSE),F18&lt;=VLOOKUP('Planner Worksheet'!$G$16,'System Inputs'!$A$2:$Q$320,17,FALSE)),"* MGA @ 0.5 mg/hd/day
",""))),IF(ISERROR(VLOOKUP(F18,'System Activities'!$H$2:$K$380,2,FALSE)),"",IF(F18="","",VLOOKUP(F18,'System Activities'!$H$2:$K$380,2,FALSE))),IF(ISERROR(VLOOKUP(F18,'System Activities'!$H$2:$K$380,3,FALSE)),"",IF(VLOOKUP(F18,'System Activities'!$H$2:$K$380,3,FALSE)="","",VLOOKUP(F18,'System Activities'!$H$2:$K$380,3,FALSE))),IF(ISERROR(VLOOKUP(F18,'System Activities'!$H$2:$K$380,4,FALSE)),"",IF(VLOOKUP(F18,'System Activities'!$H$2:$K$380,4,FALSE)="","",VLOOKUP(F18,'System Activities'!$H$2:$K$380,4,FALSE))))</f>
      </c>
      <c r="G19" t="s" s="878">
        <f>CONCATENATE(IF(G18="","",IF(AND(G18&gt;=VLOOKUP('Planner Worksheet'!$G$16,'System Inputs'!$A$2:$Q$320,14,FALSE),G18&lt;=VLOOKUP('Planner Worksheet'!$G$16,'System Inputs'!$A$2:$Q$320,15,FALSE)),"* Detect Estrus &amp; Breed
",IF(AND(G18&gt;=VLOOKUP('Planner Worksheet'!$G$16,'System Inputs'!$A$2:$Q$320,16,FALSE),G18&lt;=VLOOKUP('Planner Worksheet'!$G$16,'System Inputs'!$A$2:$Q$320,17,FALSE)),"* MGA @ 0.5 mg/hd/day
",""))),IF(ISERROR(VLOOKUP(G18,'System Activities'!$H$2:$K$380,2,FALSE)),"",IF(G18="","",VLOOKUP(G18,'System Activities'!$H$2:$K$380,2,FALSE))),IF(ISERROR(VLOOKUP(G18,'System Activities'!$H$2:$K$380,3,FALSE)),"",IF(VLOOKUP(G18,'System Activities'!$H$2:$K$380,3,FALSE)="","",VLOOKUP(G18,'System Activities'!$H$2:$K$380,3,FALSE))),IF(ISERROR(VLOOKUP(G18,'System Activities'!$H$2:$K$380,4,FALSE)),"",IF(VLOOKUP(G18,'System Activities'!$H$2:$K$380,4,FALSE)="","",VLOOKUP(G18,'System Activities'!$H$2:$K$380,4,FALSE))))</f>
      </c>
      <c r="H19" t="s" s="879">
        <f>CONCATENATE(IF(H18="","",IF(AND(H18&gt;=VLOOKUP('Planner Worksheet'!$G$16,'System Inputs'!$A$2:$Q$320,14,FALSE),H18&lt;=VLOOKUP('Planner Worksheet'!$G$16,'System Inputs'!$A$2:$Q$320,15,FALSE)),"* Detect Estrus &amp; Breed
",IF(AND(H18&gt;=VLOOKUP('Planner Worksheet'!$G$16,'System Inputs'!$A$2:$Q$320,16,FALSE),H18&lt;=VLOOKUP('Planner Worksheet'!$G$16,'System Inputs'!$A$2:$Q$320,17,FALSE)),"* MGA @ 0.5 mg/hd/day
",""))),IF(ISERROR(VLOOKUP(H18,'System Activities'!$H$2:$K$380,2,FALSE)),"",IF(H18="","",VLOOKUP(H18,'System Activities'!$H$2:$K$380,2,FALSE))),IF(ISERROR(VLOOKUP(H18,'System Activities'!$H$2:$K$380,3,FALSE)),"",IF(VLOOKUP(H18,'System Activities'!$H$2:$K$380,3,FALSE)="","",VLOOKUP(H18,'System Activities'!$H$2:$K$380,3,FALSE))),IF(ISERROR(VLOOKUP(H18,'System Activities'!$H$2:$K$380,4,FALSE)),"",IF(VLOOKUP(H18,'System Activities'!$H$2:$K$380,4,FALSE)="","",VLOOKUP(H18,'System Activities'!$H$2:$K$380,4,FALSE))))</f>
      </c>
      <c r="I19" s="877"/>
    </row>
    <row r="20" ht="15.75" customHeight="1">
      <c r="A20" s="834"/>
      <c r="B20" s="875">
        <f>IF(H18="","",IF(H18+1&gt;MAX('Planner Worksheet'!$B$100,'Planner Worksheet'!$B$95,'Planner Worksheet'!$B$90,'Planner Worksheet'!$B$86,'Planner Worksheet'!$B$81,'Planner Worksheet'!$B$76,'Planner Worksheet'!$B$71,'Planner Worksheet'!$B$66,'Planner Worksheet'!$B$62),"",H18+1))</f>
        <v>43471</v>
      </c>
      <c r="C20" s="876">
        <f>IF(B20="","",B20+1)</f>
        <v>43472</v>
      </c>
      <c r="D20" s="876">
        <f>IF(C20="","",C20+1)</f>
        <v>43473</v>
      </c>
      <c r="E20" s="876">
        <f>IF(D20="","",D20+1)</f>
        <v>43474</v>
      </c>
      <c r="F20" s="876">
        <f>IF(E20="","",E20+1)</f>
        <v>43475</v>
      </c>
      <c r="G20" s="876">
        <f>IF(F20="","",F20+1)</f>
        <v>43476</v>
      </c>
      <c r="H20" s="881">
        <f>IF(G20="","",G20+1)</f>
        <v>43477</v>
      </c>
      <c r="I20" s="865"/>
    </row>
    <row r="21" ht="70.5" customHeight="1">
      <c r="A21" s="834"/>
      <c r="B21" t="s" s="878">
        <f>CONCATENATE(IF(B20="","",IF(AND(B20&gt;=VLOOKUP('Planner Worksheet'!$G$16,'System Inputs'!$A$2:$Q$320,14,FALSE),B20&lt;=VLOOKUP('Planner Worksheet'!$G$16,'System Inputs'!$A$2:$Q$320,15,FALSE)),"* Detect Estrus &amp; Breed
",IF(AND(B20&gt;=VLOOKUP('Planner Worksheet'!$G$16,'System Inputs'!$A$2:$Q$320,16,FALSE),B20&lt;=VLOOKUP('Planner Worksheet'!$G$16,'System Inputs'!$A$2:$Q$320,17,FALSE)),"* MGA @ 0.5 mg/hd/day
",""))),IF(ISERROR(VLOOKUP(B20,'System Activities'!$H$2:$K$380,2,FALSE)),"",IF(B20="","",VLOOKUP(B20,'System Activities'!$H$2:$K$380,2,FALSE))),IF(ISERROR(VLOOKUP(B20,'System Activities'!$H$2:$K$380,3,FALSE)),"",IF(VLOOKUP(B20,'System Activities'!$H$2:$K$380,3,FALSE)="","",VLOOKUP(B20,'System Activities'!$H$2:$K$380,3,FALSE))),IF(ISERROR(VLOOKUP(B20,'System Activities'!$H$2:$K$380,4,FALSE)),"",IF(VLOOKUP(B20,'System Activities'!$H$2:$K$380,4,FALSE)="","",VLOOKUP(B20,'System Activities'!$H$2:$K$380,4,FALSE))))</f>
      </c>
      <c r="C21" t="s" s="878">
        <f>CONCATENATE(IF(C20="","",IF(AND(C20&gt;=VLOOKUP('Planner Worksheet'!$G$16,'System Inputs'!$A$2:$Q$320,14,FALSE),C20&lt;=VLOOKUP('Planner Worksheet'!$G$16,'System Inputs'!$A$2:$Q$320,15,FALSE)),"* Detect Estrus &amp; Breed
",IF(AND(C20&gt;=VLOOKUP('Planner Worksheet'!$G$16,'System Inputs'!$A$2:$Q$320,16,FALSE),C20&lt;=VLOOKUP('Planner Worksheet'!$G$16,'System Inputs'!$A$2:$Q$320,17,FALSE)),"* MGA @ 0.5 mg/hd/day
",""))),IF(ISERROR(VLOOKUP(C20,'System Activities'!$H$2:$K$380,2,FALSE)),"",IF(C20="","",VLOOKUP(C20,'System Activities'!$H$2:$K$380,2,FALSE))),IF(ISERROR(VLOOKUP(C20,'System Activities'!$H$2:$K$380,3,FALSE)),"",IF(VLOOKUP(C20,'System Activities'!$H$2:$K$380,3,FALSE)="","",VLOOKUP(C20,'System Activities'!$H$2:$K$380,3,FALSE))),IF(ISERROR(VLOOKUP(C20,'System Activities'!$H$2:$K$380,4,FALSE)),"",IF(VLOOKUP(C20,'System Activities'!$H$2:$K$380,4,FALSE)="","",VLOOKUP(C20,'System Activities'!$H$2:$K$380,4,FALSE))))</f>
        <v>289</v>
      </c>
      <c r="D21" t="s" s="878">
        <f>CONCATENATE(IF(D20="","",IF(AND(D20&gt;=VLOOKUP('Planner Worksheet'!$G$16,'System Inputs'!$A$2:$Q$320,14,FALSE),D20&lt;=VLOOKUP('Planner Worksheet'!$G$16,'System Inputs'!$A$2:$Q$320,15,FALSE)),"* Detect Estrus &amp; Breed
",IF(AND(D20&gt;=VLOOKUP('Planner Worksheet'!$G$16,'System Inputs'!$A$2:$Q$320,16,FALSE),D20&lt;=VLOOKUP('Planner Worksheet'!$G$16,'System Inputs'!$A$2:$Q$320,17,FALSE)),"* MGA @ 0.5 mg/hd/day
",""))),IF(ISERROR(VLOOKUP(D20,'System Activities'!$H$2:$K$380,2,FALSE)),"",IF(D20="","",VLOOKUP(D20,'System Activities'!$H$2:$K$380,2,FALSE))),IF(ISERROR(VLOOKUP(D20,'System Activities'!$H$2:$K$380,3,FALSE)),"",IF(VLOOKUP(D20,'System Activities'!$H$2:$K$380,3,FALSE)="","",VLOOKUP(D20,'System Activities'!$H$2:$K$380,3,FALSE))),IF(ISERROR(VLOOKUP(D20,'System Activities'!$H$2:$K$380,4,FALSE)),"",IF(VLOOKUP(D20,'System Activities'!$H$2:$K$380,4,FALSE)="","",VLOOKUP(D20,'System Activities'!$H$2:$K$380,4,FALSE))))</f>
      </c>
      <c r="E21" t="s" s="878">
        <f>CONCATENATE(IF(E20="","",IF(AND(E20&gt;=VLOOKUP('Planner Worksheet'!$G$16,'System Inputs'!$A$2:$Q$320,14,FALSE),E20&lt;=VLOOKUP('Planner Worksheet'!$G$16,'System Inputs'!$A$2:$Q$320,15,FALSE)),"* Detect Estrus &amp; Breed
",IF(AND(E20&gt;=VLOOKUP('Planner Worksheet'!$G$16,'System Inputs'!$A$2:$Q$320,16,FALSE),E20&lt;=VLOOKUP('Planner Worksheet'!$G$16,'System Inputs'!$A$2:$Q$320,17,FALSE)),"* MGA @ 0.5 mg/hd/day
",""))),IF(ISERROR(VLOOKUP(E20,'System Activities'!$H$2:$K$380,2,FALSE)),"",IF(E20="","",VLOOKUP(E20,'System Activities'!$H$2:$K$380,2,FALSE))),IF(ISERROR(VLOOKUP(E20,'System Activities'!$H$2:$K$380,3,FALSE)),"",IF(VLOOKUP(E20,'System Activities'!$H$2:$K$380,3,FALSE)="","",VLOOKUP(E20,'System Activities'!$H$2:$K$380,3,FALSE))),IF(ISERROR(VLOOKUP(E20,'System Activities'!$H$2:$K$380,4,FALSE)),"",IF(VLOOKUP(E20,'System Activities'!$H$2:$K$380,4,FALSE)="","",VLOOKUP(E20,'System Activities'!$H$2:$K$380,4,FALSE))))</f>
      </c>
      <c r="F21" t="s" s="878">
        <f>CONCATENATE(IF(F20="","",IF(AND(F20&gt;=VLOOKUP('Planner Worksheet'!$G$16,'System Inputs'!$A$2:$Q$320,14,FALSE),F20&lt;=VLOOKUP('Planner Worksheet'!$G$16,'System Inputs'!$A$2:$Q$320,15,FALSE)),"* Detect Estrus &amp; Breed
",IF(AND(F20&gt;=VLOOKUP('Planner Worksheet'!$G$16,'System Inputs'!$A$2:$Q$320,16,FALSE),F20&lt;=VLOOKUP('Planner Worksheet'!$G$16,'System Inputs'!$A$2:$Q$320,17,FALSE)),"* MGA @ 0.5 mg/hd/day
",""))),IF(ISERROR(VLOOKUP(F20,'System Activities'!$H$2:$K$380,2,FALSE)),"",IF(F20="","",VLOOKUP(F20,'System Activities'!$H$2:$K$380,2,FALSE))),IF(ISERROR(VLOOKUP(F20,'System Activities'!$H$2:$K$380,3,FALSE)),"",IF(VLOOKUP(F20,'System Activities'!$H$2:$K$380,3,FALSE)="","",VLOOKUP(F20,'System Activities'!$H$2:$K$380,3,FALSE))),IF(ISERROR(VLOOKUP(F20,'System Activities'!$H$2:$K$380,4,FALSE)),"",IF(VLOOKUP(F20,'System Activities'!$H$2:$K$380,4,FALSE)="","",VLOOKUP(F20,'System Activities'!$H$2:$K$380,4,FALSE))))</f>
      </c>
      <c r="G21" t="s" s="878">
        <f>CONCATENATE(IF(G20="","",IF(AND(G20&gt;=VLOOKUP('Planner Worksheet'!$G$16,'System Inputs'!$A$2:$Q$320,14,FALSE),G20&lt;=VLOOKUP('Planner Worksheet'!$G$16,'System Inputs'!$A$2:$Q$320,15,FALSE)),"* Detect Estrus &amp; Breed
",IF(AND(G20&gt;=VLOOKUP('Planner Worksheet'!$G$16,'System Inputs'!$A$2:$Q$320,16,FALSE),G20&lt;=VLOOKUP('Planner Worksheet'!$G$16,'System Inputs'!$A$2:$Q$320,17,FALSE)),"* MGA @ 0.5 mg/hd/day
",""))),IF(ISERROR(VLOOKUP(G20,'System Activities'!$H$2:$K$380,2,FALSE)),"",IF(G20="","",VLOOKUP(G20,'System Activities'!$H$2:$K$380,2,FALSE))),IF(ISERROR(VLOOKUP(G20,'System Activities'!$H$2:$K$380,3,FALSE)),"",IF(VLOOKUP(G20,'System Activities'!$H$2:$K$380,3,FALSE)="","",VLOOKUP(G20,'System Activities'!$H$2:$K$380,3,FALSE))),IF(ISERROR(VLOOKUP(G20,'System Activities'!$H$2:$K$380,4,FALSE)),"",IF(VLOOKUP(G20,'System Activities'!$H$2:$K$380,4,FALSE)="","",VLOOKUP(G20,'System Activities'!$H$2:$K$380,4,FALSE))))</f>
      </c>
      <c r="H21" t="s" s="879">
        <f>CONCATENATE(IF(H20="","",IF(AND(H20&gt;=VLOOKUP('Planner Worksheet'!$G$16,'System Inputs'!$A$2:$Q$320,14,FALSE),H20&lt;=VLOOKUP('Planner Worksheet'!$G$16,'System Inputs'!$A$2:$Q$320,15,FALSE)),"* Detect Estrus &amp; Breed
",IF(AND(H20&gt;=VLOOKUP('Planner Worksheet'!$G$16,'System Inputs'!$A$2:$Q$320,16,FALSE),H20&lt;=VLOOKUP('Planner Worksheet'!$G$16,'System Inputs'!$A$2:$Q$320,17,FALSE)),"* MGA @ 0.5 mg/hd/day
",""))),IF(ISERROR(VLOOKUP(H20,'System Activities'!$H$2:$K$380,2,FALSE)),"",IF(H20="","",VLOOKUP(H20,'System Activities'!$H$2:$K$380,2,FALSE))),IF(ISERROR(VLOOKUP(H20,'System Activities'!$H$2:$K$380,3,FALSE)),"",IF(VLOOKUP(H20,'System Activities'!$H$2:$K$380,3,FALSE)="","",VLOOKUP(H20,'System Activities'!$H$2:$K$380,3,FALSE))),IF(ISERROR(VLOOKUP(H20,'System Activities'!$H$2:$K$380,4,FALSE)),"",IF(VLOOKUP(H20,'System Activities'!$H$2:$K$380,4,FALSE)="","",VLOOKUP(H20,'System Activities'!$H$2:$K$380,4,FALSE))))</f>
      </c>
      <c r="I21" s="877"/>
    </row>
    <row r="22" ht="15.75" customHeight="1">
      <c r="A22" s="834"/>
      <c r="B22" t="s" s="882">
        <f>IF(H20="","",IF(H20+1&gt;MAX('Planner Worksheet'!$B$100,'Planner Worksheet'!$B$95,'Planner Worksheet'!$B$90,'Planner Worksheet'!$B$86,'Planner Worksheet'!$B$81,'Planner Worksheet'!$B$76,'Planner Worksheet'!$B$71,'Planner Worksheet'!$B$66,'Planner Worksheet'!$B$62),"",H20+1))</f>
      </c>
      <c r="C22" t="s" s="883">
        <f>IF(B22="","",B22+1)</f>
      </c>
      <c r="D22" t="s" s="883">
        <f>IF(C22="","",C22+1)</f>
      </c>
      <c r="E22" t="s" s="883">
        <f>IF(D22="","",D22+1)</f>
      </c>
      <c r="F22" t="s" s="883">
        <f>IF(E22="","",E22+1)</f>
      </c>
      <c r="G22" t="s" s="883">
        <f>IF(F22="","",F22+1)</f>
      </c>
      <c r="H22" t="s" s="884">
        <f>IF(G22="","",G22+1)</f>
      </c>
      <c r="I22" s="865"/>
    </row>
    <row r="23" ht="70.5" customHeight="1">
      <c r="A23" s="834"/>
      <c r="B23" t="s" s="878">
        <f>CONCATENATE(IF(B22="","",IF(AND(B22&gt;=VLOOKUP('Planner Worksheet'!$G$16,'System Inputs'!$A$2:$Q$320,14,FALSE),B22&lt;=VLOOKUP('Planner Worksheet'!$G$16,'System Inputs'!$A$2:$Q$320,15,FALSE)),"* Detect Estrus &amp; Breed
",IF(AND(B22&gt;=VLOOKUP('Planner Worksheet'!$G$16,'System Inputs'!$A$2:$Q$320,16,FALSE),B22&lt;=VLOOKUP('Planner Worksheet'!$G$16,'System Inputs'!$A$2:$Q$320,17,FALSE)),"* MGA @ 0.5 mg/hd/day
",""))),IF(ISERROR(VLOOKUP(B22,'System Activities'!$H$2:$K$380,2,FALSE)),"",IF(B22="","",VLOOKUP(B22,'System Activities'!$H$2:$K$380,2,FALSE))),IF(ISERROR(VLOOKUP(B22,'System Activities'!$H$2:$K$380,3,FALSE)),"",IF(VLOOKUP(B22,'System Activities'!$H$2:$K$380,3,FALSE)="","",VLOOKUP(B22,'System Activities'!$H$2:$K$380,3,FALSE))),IF(ISERROR(VLOOKUP(B22,'System Activities'!$H$2:$K$380,4,FALSE)),"",IF(VLOOKUP(B22,'System Activities'!$H$2:$K$380,4,FALSE)="","",VLOOKUP(B22,'System Activities'!$H$2:$K$380,4,FALSE))))</f>
      </c>
      <c r="C23" t="s" s="878">
        <f>CONCATENATE(IF(C22="","",IF(AND(C22&gt;=VLOOKUP('Planner Worksheet'!$G$16,'System Inputs'!$A$2:$Q$320,14,FALSE),C22&lt;=VLOOKUP('Planner Worksheet'!$G$16,'System Inputs'!$A$2:$Q$320,15,FALSE)),"* Detect Estrus &amp; Breed
",IF(AND(C22&gt;=VLOOKUP('Planner Worksheet'!$G$16,'System Inputs'!$A$2:$Q$320,16,FALSE),C22&lt;=VLOOKUP('Planner Worksheet'!$G$16,'System Inputs'!$A$2:$Q$320,17,FALSE)),"* MGA @ 0.5 mg/hd/day
",""))),IF(ISERROR(VLOOKUP(C22,'System Activities'!$H$2:$K$380,2,FALSE)),"",IF(C22="","",VLOOKUP(C22,'System Activities'!$H$2:$K$380,2,FALSE))),IF(ISERROR(VLOOKUP(C22,'System Activities'!$H$2:$K$380,3,FALSE)),"",IF(VLOOKUP(C22,'System Activities'!$H$2:$K$380,3,FALSE)="","",VLOOKUP(C22,'System Activities'!$H$2:$K$380,3,FALSE))),IF(ISERROR(VLOOKUP(C22,'System Activities'!$H$2:$K$380,4,FALSE)),"",IF(VLOOKUP(C22,'System Activities'!$H$2:$K$380,4,FALSE)="","",VLOOKUP(C22,'System Activities'!$H$2:$K$380,4,FALSE))))</f>
      </c>
      <c r="D23" t="s" s="878">
        <f>CONCATENATE(IF(D22="","",IF(AND(D22&gt;=VLOOKUP('Planner Worksheet'!$G$16,'System Inputs'!$A$2:$Q$320,14,FALSE),D22&lt;=VLOOKUP('Planner Worksheet'!$G$16,'System Inputs'!$A$2:$Q$320,15,FALSE)),"* Detect Estrus &amp; Breed
",IF(AND(D22&gt;=VLOOKUP('Planner Worksheet'!$G$16,'System Inputs'!$A$2:$Q$320,16,FALSE),D22&lt;=VLOOKUP('Planner Worksheet'!$G$16,'System Inputs'!$A$2:$Q$320,17,FALSE)),"* MGA @ 0.5 mg/hd/day
",""))),IF(ISERROR(VLOOKUP(D22,'System Activities'!$H$2:$K$380,2,FALSE)),"",IF(D22="","",VLOOKUP(D22,'System Activities'!$H$2:$K$380,2,FALSE))),IF(ISERROR(VLOOKUP(D22,'System Activities'!$H$2:$K$380,3,FALSE)),"",IF(VLOOKUP(D22,'System Activities'!$H$2:$K$380,3,FALSE)="","",VLOOKUP(D22,'System Activities'!$H$2:$K$380,3,FALSE))),IF(ISERROR(VLOOKUP(D22,'System Activities'!$H$2:$K$380,4,FALSE)),"",IF(VLOOKUP(D22,'System Activities'!$H$2:$K$380,4,FALSE)="","",VLOOKUP(D22,'System Activities'!$H$2:$K$380,4,FALSE))))</f>
      </c>
      <c r="E23" t="s" s="878">
        <f>CONCATENATE(IF(E22="","",IF(AND(E22&gt;=VLOOKUP('Planner Worksheet'!$G$16,'System Inputs'!$A$2:$Q$320,14,FALSE),E22&lt;=VLOOKUP('Planner Worksheet'!$G$16,'System Inputs'!$A$2:$Q$320,15,FALSE)),"* Detect Estrus &amp; Breed
",IF(AND(E22&gt;=VLOOKUP('Planner Worksheet'!$G$16,'System Inputs'!$A$2:$Q$320,16,FALSE),E22&lt;=VLOOKUP('Planner Worksheet'!$G$16,'System Inputs'!$A$2:$Q$320,17,FALSE)),"* MGA @ 0.5 mg/hd/day
",""))),IF(ISERROR(VLOOKUP(E22,'System Activities'!$H$2:$K$380,2,FALSE)),"",IF(E22="","",VLOOKUP(E22,'System Activities'!$H$2:$K$380,2,FALSE))),IF(ISERROR(VLOOKUP(E22,'System Activities'!$H$2:$K$380,3,FALSE)),"",IF(VLOOKUP(E22,'System Activities'!$H$2:$K$380,3,FALSE)="","",VLOOKUP(E22,'System Activities'!$H$2:$K$380,3,FALSE))),IF(ISERROR(VLOOKUP(E22,'System Activities'!$H$2:$K$380,4,FALSE)),"",IF(VLOOKUP(E22,'System Activities'!$H$2:$K$380,4,FALSE)="","",VLOOKUP(E22,'System Activities'!$H$2:$K$380,4,FALSE))))</f>
      </c>
      <c r="F23" t="s" s="878">
        <f>CONCATENATE(IF(F22="","",IF(AND(F22&gt;=VLOOKUP('Planner Worksheet'!$G$16,'System Inputs'!$A$2:$Q$320,14,FALSE),F22&lt;=VLOOKUP('Planner Worksheet'!$G$16,'System Inputs'!$A$2:$Q$320,15,FALSE)),"* Detect Estrus &amp; Breed
",IF(AND(F22&gt;=VLOOKUP('Planner Worksheet'!$G$16,'System Inputs'!$A$2:$Q$320,16,FALSE),F22&lt;=VLOOKUP('Planner Worksheet'!$G$16,'System Inputs'!$A$2:$Q$320,17,FALSE)),"* MGA @ 0.5 mg/hd/day
",""))),IF(ISERROR(VLOOKUP(F22,'System Activities'!$H$2:$K$380,2,FALSE)),"",IF(F22="","",VLOOKUP(F22,'System Activities'!$H$2:$K$380,2,FALSE))),IF(ISERROR(VLOOKUP(F22,'System Activities'!$H$2:$K$380,3,FALSE)),"",IF(VLOOKUP(F22,'System Activities'!$H$2:$K$380,3,FALSE)="","",VLOOKUP(F22,'System Activities'!$H$2:$K$380,3,FALSE))),IF(ISERROR(VLOOKUP(F22,'System Activities'!$H$2:$K$380,4,FALSE)),"",IF(VLOOKUP(F22,'System Activities'!$H$2:$K$380,4,FALSE)="","",VLOOKUP(F22,'System Activities'!$H$2:$K$380,4,FALSE))))</f>
      </c>
      <c r="G23" t="s" s="878">
        <f>CONCATENATE(IF(G22="","",IF(AND(G22&gt;=VLOOKUP('Planner Worksheet'!$G$16,'System Inputs'!$A$2:$Q$320,14,FALSE),G22&lt;=VLOOKUP('Planner Worksheet'!$G$16,'System Inputs'!$A$2:$Q$320,15,FALSE)),"* Detect Estrus &amp; Breed
",IF(AND(G22&gt;=VLOOKUP('Planner Worksheet'!$G$16,'System Inputs'!$A$2:$Q$320,16,FALSE),G22&lt;=VLOOKUP('Planner Worksheet'!$G$16,'System Inputs'!$A$2:$Q$320,17,FALSE)),"* MGA @ 0.5 mg/hd/day
",""))),IF(ISERROR(VLOOKUP(G22,'System Activities'!$H$2:$K$380,2,FALSE)),"",IF(G22="","",VLOOKUP(G22,'System Activities'!$H$2:$K$380,2,FALSE))),IF(ISERROR(VLOOKUP(G22,'System Activities'!$H$2:$K$380,3,FALSE)),"",IF(VLOOKUP(G22,'System Activities'!$H$2:$K$380,3,FALSE)="","",VLOOKUP(G22,'System Activities'!$H$2:$K$380,3,FALSE))),IF(ISERROR(VLOOKUP(G22,'System Activities'!$H$2:$K$380,4,FALSE)),"",IF(VLOOKUP(G22,'System Activities'!$H$2:$K$380,4,FALSE)="","",VLOOKUP(G22,'System Activities'!$H$2:$K$380,4,FALSE))))</f>
      </c>
      <c r="H23" t="s" s="879">
        <f>CONCATENATE(IF(H22="","",IF(AND(H22&gt;=VLOOKUP('Planner Worksheet'!$G$16,'System Inputs'!$A$2:$Q$320,14,FALSE),H22&lt;=VLOOKUP('Planner Worksheet'!$G$16,'System Inputs'!$A$2:$Q$320,15,FALSE)),"* Detect Estrus &amp; Breed
",IF(AND(H22&gt;=VLOOKUP('Planner Worksheet'!$G$16,'System Inputs'!$A$2:$Q$320,16,FALSE),H22&lt;=VLOOKUP('Planner Worksheet'!$G$16,'System Inputs'!$A$2:$Q$320,17,FALSE)),"* MGA @ 0.5 mg/hd/day
",""))),IF(ISERROR(VLOOKUP(H22,'System Activities'!$H$2:$K$380,2,FALSE)),"",IF(H22="","",VLOOKUP(H22,'System Activities'!$H$2:$K$380,2,FALSE))),IF(ISERROR(VLOOKUP(H22,'System Activities'!$H$2:$K$380,3,FALSE)),"",IF(VLOOKUP(H22,'System Activities'!$H$2:$K$380,3,FALSE)="","",VLOOKUP(H22,'System Activities'!$H$2:$K$380,3,FALSE))),IF(ISERROR(VLOOKUP(H22,'System Activities'!$H$2:$K$380,4,FALSE)),"",IF(VLOOKUP(H22,'System Activities'!$H$2:$K$380,4,FALSE)="","",VLOOKUP(H22,'System Activities'!$H$2:$K$380,4,FALSE))))</f>
      </c>
      <c r="I23" s="877"/>
    </row>
    <row r="24" ht="15.75" customHeight="1">
      <c r="A24" s="834"/>
      <c r="B24" t="s" s="882">
        <f>IF(H22="","",IF(H22+1&gt;MAX('Planner Worksheet'!$B$100,'Planner Worksheet'!$B$95,'Planner Worksheet'!$B$90,'Planner Worksheet'!$B$86,'Planner Worksheet'!$B$81,'Planner Worksheet'!$B$76,'Planner Worksheet'!$B$71,'Planner Worksheet'!$B$66,'Planner Worksheet'!$B$62),"",H22+1))</f>
      </c>
      <c r="C24" t="s" s="883">
        <f>IF(B24="","",B24+1)</f>
      </c>
      <c r="D24" t="s" s="883">
        <f>IF(C24="","",C24+1)</f>
      </c>
      <c r="E24" t="s" s="883">
        <f>IF(D24="","",D24+1)</f>
      </c>
      <c r="F24" t="s" s="883">
        <f>IF(E24="","",E24+1)</f>
      </c>
      <c r="G24" t="s" s="883">
        <f>IF(F24="","",F24+1)</f>
      </c>
      <c r="H24" t="s" s="884">
        <f>IF(G24="","",G24+1)</f>
      </c>
      <c r="I24" s="865"/>
    </row>
    <row r="25" ht="70.5" customHeight="1">
      <c r="A25" s="834"/>
      <c r="B25" t="s" s="885">
        <f>CONCATENATE(IF(B24="","",IF(AND(B24&gt;=VLOOKUP('Planner Worksheet'!$G$16,'System Inputs'!$A$2:$Q$320,14,FALSE),B24&lt;=VLOOKUP('Planner Worksheet'!$G$16,'System Inputs'!$A$2:$Q$320,15,FALSE)),"* Detect Estrus &amp; Breed
",IF(AND(B24&gt;=VLOOKUP('Planner Worksheet'!$G$16,'System Inputs'!$A$2:$Q$320,16,FALSE),B24&lt;=VLOOKUP('Planner Worksheet'!$G$16,'System Inputs'!$A$2:$Q$320,17,FALSE)),"* MGA @ 0.5 mg/hd/day
",""))),IF(ISERROR(VLOOKUP(B24,'System Activities'!$H$2:$K$380,2,FALSE)),"",IF(B24="","",VLOOKUP(B24,'System Activities'!$H$2:$K$380,2,FALSE))),IF(ISERROR(VLOOKUP(B24,'System Activities'!$H$2:$K$380,3,FALSE)),"",IF(VLOOKUP(B24,'System Activities'!$H$2:$K$380,3,FALSE)="","",VLOOKUP(B24,'System Activities'!$H$2:$K$380,3,FALSE))),IF(ISERROR(VLOOKUP(B24,'System Activities'!$H$2:$K$380,4,FALSE)),"",IF(VLOOKUP(B24,'System Activities'!$H$2:$K$380,4,FALSE)="","",VLOOKUP(B24,'System Activities'!$H$2:$K$380,4,FALSE))))</f>
      </c>
      <c r="C25" t="s" s="885">
        <f>CONCATENATE(IF(C24="","",IF(AND(C24&gt;=VLOOKUP('Planner Worksheet'!$G$16,'System Inputs'!$A$2:$Q$320,14,FALSE),C24&lt;=VLOOKUP('Planner Worksheet'!$G$16,'System Inputs'!$A$2:$Q$320,15,FALSE)),"* Detect Estrus &amp; Breed
",IF(AND(C24&gt;=VLOOKUP('Planner Worksheet'!$G$16,'System Inputs'!$A$2:$Q$320,16,FALSE),C24&lt;=VLOOKUP('Planner Worksheet'!$G$16,'System Inputs'!$A$2:$Q$320,17,FALSE)),"* MGA @ 0.5 mg/hd/day
",""))),IF(ISERROR(VLOOKUP(C24,'System Activities'!$H$2:$K$380,2,FALSE)),"",IF(C24="","",VLOOKUP(C24,'System Activities'!$H$2:$K$380,2,FALSE))),IF(ISERROR(VLOOKUP(C24,'System Activities'!$H$2:$K$380,3,FALSE)),"",IF(VLOOKUP(C24,'System Activities'!$H$2:$K$380,3,FALSE)="","",VLOOKUP(C24,'System Activities'!$H$2:$K$380,3,FALSE))),IF(ISERROR(VLOOKUP(C24,'System Activities'!$H$2:$K$380,4,FALSE)),"",IF(VLOOKUP(C24,'System Activities'!$H$2:$K$380,4,FALSE)="","",VLOOKUP(C24,'System Activities'!$H$2:$K$380,4,FALSE))))</f>
      </c>
      <c r="D25" t="s" s="885">
        <f>CONCATENATE(IF(D24="","",IF(AND(D24&gt;=VLOOKUP('Planner Worksheet'!$G$16,'System Inputs'!$A$2:$Q$320,14,FALSE),D24&lt;=VLOOKUP('Planner Worksheet'!$G$16,'System Inputs'!$A$2:$Q$320,15,FALSE)),"* Detect Estrus &amp; Breed
",IF(AND(D24&gt;=VLOOKUP('Planner Worksheet'!$G$16,'System Inputs'!$A$2:$Q$320,16,FALSE),D24&lt;=VLOOKUP('Planner Worksheet'!$G$16,'System Inputs'!$A$2:$Q$320,17,FALSE)),"* MGA @ 0.5 mg/hd/day
",""))),IF(ISERROR(VLOOKUP(D24,'System Activities'!$H$2:$K$380,2,FALSE)),"",IF(D24="","",VLOOKUP(D24,'System Activities'!$H$2:$K$380,2,FALSE))),IF(ISERROR(VLOOKUP(D24,'System Activities'!$H$2:$K$380,3,FALSE)),"",IF(VLOOKUP(D24,'System Activities'!$H$2:$K$380,3,FALSE)="","",VLOOKUP(D24,'System Activities'!$H$2:$K$380,3,FALSE))),IF(ISERROR(VLOOKUP(D24,'System Activities'!$H$2:$K$380,4,FALSE)),"",IF(VLOOKUP(D24,'System Activities'!$H$2:$K$380,4,FALSE)="","",VLOOKUP(D24,'System Activities'!$H$2:$K$380,4,FALSE))))</f>
      </c>
      <c r="E25" t="s" s="885">
        <f>CONCATENATE(IF(E24="","",IF(AND(E24&gt;=VLOOKUP('Planner Worksheet'!$G$16,'System Inputs'!$A$2:$Q$320,14,FALSE),E24&lt;=VLOOKUP('Planner Worksheet'!$G$16,'System Inputs'!$A$2:$Q$320,15,FALSE)),"* Detect Estrus &amp; Breed
",IF(AND(E24&gt;=VLOOKUP('Planner Worksheet'!$G$16,'System Inputs'!$A$2:$Q$320,16,FALSE),E24&lt;=VLOOKUP('Planner Worksheet'!$G$16,'System Inputs'!$A$2:$Q$320,17,FALSE)),"* MGA @ 0.5 mg/hd/day
",""))),IF(ISERROR(VLOOKUP(E24,'System Activities'!$H$2:$K$380,2,FALSE)),"",IF(E24="","",VLOOKUP(E24,'System Activities'!$H$2:$K$380,2,FALSE))),IF(ISERROR(VLOOKUP(E24,'System Activities'!$H$2:$K$380,3,FALSE)),"",IF(VLOOKUP(E24,'System Activities'!$H$2:$K$380,3,FALSE)="","",VLOOKUP(E24,'System Activities'!$H$2:$K$380,3,FALSE))),IF(ISERROR(VLOOKUP(E24,'System Activities'!$H$2:$K$380,4,FALSE)),"",IF(VLOOKUP(E24,'System Activities'!$H$2:$K$380,4,FALSE)="","",VLOOKUP(E24,'System Activities'!$H$2:$K$380,4,FALSE))))</f>
      </c>
      <c r="F25" t="s" s="885">
        <f>CONCATENATE(IF(F24="","",IF(AND(F24&gt;=VLOOKUP('Planner Worksheet'!$G$16,'System Inputs'!$A$2:$Q$320,14,FALSE),F24&lt;=VLOOKUP('Planner Worksheet'!$G$16,'System Inputs'!$A$2:$Q$320,15,FALSE)),"* Detect Estrus &amp; Breed
",IF(AND(F24&gt;=VLOOKUP('Planner Worksheet'!$G$16,'System Inputs'!$A$2:$Q$320,16,FALSE),F24&lt;=VLOOKUP('Planner Worksheet'!$G$16,'System Inputs'!$A$2:$Q$320,17,FALSE)),"* MGA @ 0.5 mg/hd/day
",""))),IF(ISERROR(VLOOKUP(F24,'System Activities'!$H$2:$K$380,2,FALSE)),"",IF(F24="","",VLOOKUP(F24,'System Activities'!$H$2:$K$380,2,FALSE))),IF(ISERROR(VLOOKUP(F24,'System Activities'!$H$2:$K$380,3,FALSE)),"",IF(VLOOKUP(F24,'System Activities'!$H$2:$K$380,3,FALSE)="","",VLOOKUP(F24,'System Activities'!$H$2:$K$380,3,FALSE))),IF(ISERROR(VLOOKUP(F24,'System Activities'!$H$2:$K$380,4,FALSE)),"",IF(VLOOKUP(F24,'System Activities'!$H$2:$K$380,4,FALSE)="","",VLOOKUP(F24,'System Activities'!$H$2:$K$380,4,FALSE))))</f>
      </c>
      <c r="G25" t="s" s="885">
        <f>CONCATENATE(IF(G24="","",IF(AND(G24&gt;=VLOOKUP('Planner Worksheet'!$G$16,'System Inputs'!$A$2:$Q$320,14,FALSE),G24&lt;=VLOOKUP('Planner Worksheet'!$G$16,'System Inputs'!$A$2:$Q$320,15,FALSE)),"* Detect Estrus &amp; Breed
",IF(AND(G24&gt;=VLOOKUP('Planner Worksheet'!$G$16,'System Inputs'!$A$2:$Q$320,16,FALSE),G24&lt;=VLOOKUP('Planner Worksheet'!$G$16,'System Inputs'!$A$2:$Q$320,17,FALSE)),"* MGA @ 0.5 mg/hd/day
",""))),IF(ISERROR(VLOOKUP(G24,'System Activities'!$H$2:$K$380,2,FALSE)),"",IF(G24="","",VLOOKUP(G24,'System Activities'!$H$2:$K$380,2,FALSE))),IF(ISERROR(VLOOKUP(G24,'System Activities'!$H$2:$K$380,3,FALSE)),"",IF(VLOOKUP(G24,'System Activities'!$H$2:$K$380,3,FALSE)="","",VLOOKUP(G24,'System Activities'!$H$2:$K$380,3,FALSE))),IF(ISERROR(VLOOKUP(G24,'System Activities'!$H$2:$K$380,4,FALSE)),"",IF(VLOOKUP(G24,'System Activities'!$H$2:$K$380,4,FALSE)="","",VLOOKUP(G24,'System Activities'!$H$2:$K$380,4,FALSE))))</f>
      </c>
      <c r="H25" t="s" s="886">
        <f>CONCATENATE(IF(H24="","",IF(AND(H24&gt;=VLOOKUP('Planner Worksheet'!$G$16,'System Inputs'!$A$2:$Q$320,14,FALSE),H24&lt;=VLOOKUP('Planner Worksheet'!$G$16,'System Inputs'!$A$2:$Q$320,15,FALSE)),"* Detect Estrus &amp; Breed
",IF(AND(H24&gt;=VLOOKUP('Planner Worksheet'!$G$16,'System Inputs'!$A$2:$Q$320,16,FALSE),H24&lt;=VLOOKUP('Planner Worksheet'!$G$16,'System Inputs'!$A$2:$Q$320,17,FALSE)),"* MGA @ 0.5 mg/hd/day
",""))),IF(ISERROR(VLOOKUP(H24,'System Activities'!$H$2:$K$380,2,FALSE)),"",IF(H24="","",VLOOKUP(H24,'System Activities'!$H$2:$K$380,2,FALSE))),IF(ISERROR(VLOOKUP(H24,'System Activities'!$H$2:$K$380,3,FALSE)),"",IF(VLOOKUP(H24,'System Activities'!$H$2:$K$380,3,FALSE)="","",VLOOKUP(H24,'System Activities'!$H$2:$K$380,3,FALSE))),IF(ISERROR(VLOOKUP(H24,'System Activities'!$H$2:$K$380,4,FALSE)),"",IF(VLOOKUP(H24,'System Activities'!$H$2:$K$380,4,FALSE)="","",VLOOKUP(H24,'System Activities'!$H$2:$K$380,4,FALSE))))</f>
      </c>
      <c r="I25" s="877"/>
    </row>
    <row r="26" ht="15" customHeight="1">
      <c r="A26" s="827"/>
      <c r="B26" s="887">
        <f>'Planner Worksheet'!B23:B23</f>
        <v>0</v>
      </c>
      <c r="C26" s="888"/>
      <c r="D26" s="888"/>
      <c r="E26" s="888"/>
      <c r="F26" s="888"/>
      <c r="G26" s="888"/>
      <c r="H26" s="888"/>
      <c r="I26" s="833"/>
    </row>
    <row r="27" ht="15.75" customHeight="1">
      <c r="A27" s="827"/>
      <c r="B27" s="889"/>
      <c r="C27" s="889"/>
      <c r="D27" s="889"/>
      <c r="E27" s="889"/>
      <c r="F27" s="889"/>
      <c r="G27" s="889"/>
      <c r="H27" s="889"/>
      <c r="I27" s="833"/>
    </row>
    <row r="28" ht="27.75" customHeight="1">
      <c r="A28" s="827"/>
      <c r="B28" s="890"/>
      <c r="C28" s="890"/>
      <c r="D28" s="890"/>
      <c r="E28" s="890"/>
      <c r="F28" s="890"/>
      <c r="G28" s="890"/>
      <c r="H28" s="890"/>
      <c r="I28" s="833"/>
    </row>
    <row r="29" ht="15" customHeight="1">
      <c r="A29" s="827"/>
      <c r="B29" s="891"/>
      <c r="C29" s="891"/>
      <c r="D29" s="892"/>
      <c r="E29" s="891"/>
      <c r="F29" s="891"/>
      <c r="G29" s="891"/>
      <c r="H29" s="891"/>
      <c r="I29" s="833"/>
    </row>
    <row r="30" ht="15" customHeight="1">
      <c r="A30" s="827"/>
      <c r="B30" s="893"/>
      <c r="C30" s="893"/>
      <c r="D30" s="893"/>
      <c r="E30" s="893"/>
      <c r="F30" s="893"/>
      <c r="G30" s="893"/>
      <c r="H30" s="893"/>
      <c r="I30" s="833"/>
    </row>
    <row r="31" ht="15" customHeight="1">
      <c r="A31" s="894"/>
      <c r="B31" s="895"/>
      <c r="C31" s="895"/>
      <c r="D31" s="895"/>
      <c r="E31" s="895"/>
      <c r="F31" s="895"/>
      <c r="G31" s="895"/>
      <c r="H31" s="895"/>
      <c r="I31" s="896"/>
    </row>
    <row r="32" ht="15" customHeight="1">
      <c r="A32" s="897"/>
      <c r="B32" s="898"/>
      <c r="C32" s="898"/>
      <c r="D32" s="898"/>
      <c r="E32" s="898"/>
      <c r="F32" s="898"/>
      <c r="G32" s="898"/>
      <c r="H32" s="898"/>
      <c r="I32" s="899"/>
    </row>
    <row r="33" ht="15" customHeight="1">
      <c r="A33" s="897"/>
      <c r="B33" s="898"/>
      <c r="C33" s="898"/>
      <c r="D33" s="898"/>
      <c r="E33" s="898"/>
      <c r="F33" s="898"/>
      <c r="G33" s="898"/>
      <c r="H33" s="898"/>
      <c r="I33" s="899"/>
    </row>
    <row r="34" ht="15" customHeight="1">
      <c r="A34" s="897"/>
      <c r="B34" s="898"/>
      <c r="C34" s="898"/>
      <c r="D34" s="898"/>
      <c r="E34" s="898"/>
      <c r="F34" s="898"/>
      <c r="G34" s="898"/>
      <c r="H34" s="898"/>
      <c r="I34" s="899"/>
    </row>
    <row r="35" ht="15" customHeight="1">
      <c r="A35" s="894"/>
      <c r="B35" s="895"/>
      <c r="C35" s="895"/>
      <c r="D35" s="895"/>
      <c r="E35" s="895"/>
      <c r="F35" s="895"/>
      <c r="G35" s="895"/>
      <c r="H35" s="895"/>
      <c r="I35" s="896"/>
    </row>
    <row r="36" ht="15" customHeight="1">
      <c r="A36" s="894"/>
      <c r="B36" s="895"/>
      <c r="C36" s="895"/>
      <c r="D36" s="895"/>
      <c r="E36" s="895"/>
      <c r="F36" s="895"/>
      <c r="G36" s="895"/>
      <c r="H36" s="895"/>
      <c r="I36" s="896"/>
    </row>
    <row r="37" ht="15" customHeight="1">
      <c r="A37" s="894"/>
      <c r="B37" s="895"/>
      <c r="C37" s="895"/>
      <c r="D37" s="895"/>
      <c r="E37" s="895"/>
      <c r="F37" s="895"/>
      <c r="G37" s="895"/>
      <c r="H37" s="895"/>
      <c r="I37" s="896"/>
    </row>
    <row r="38" ht="15" customHeight="1">
      <c r="A38" s="894"/>
      <c r="B38" s="895"/>
      <c r="C38" s="895"/>
      <c r="D38" s="895"/>
      <c r="E38" s="895"/>
      <c r="F38" s="895"/>
      <c r="G38" s="895"/>
      <c r="H38" s="895"/>
      <c r="I38" s="896"/>
    </row>
    <row r="39" ht="15" customHeight="1">
      <c r="A39" s="894"/>
      <c r="B39" s="895"/>
      <c r="C39" s="895"/>
      <c r="D39" s="895"/>
      <c r="E39" s="895"/>
      <c r="F39" s="895"/>
      <c r="G39" s="895"/>
      <c r="H39" s="895"/>
      <c r="I39" s="896"/>
    </row>
    <row r="40" ht="15" customHeight="1">
      <c r="A40" s="894"/>
      <c r="B40" s="895"/>
      <c r="C40" s="895"/>
      <c r="D40" s="895"/>
      <c r="E40" s="895"/>
      <c r="F40" s="895"/>
      <c r="G40" s="895"/>
      <c r="H40" s="895"/>
      <c r="I40" s="896"/>
    </row>
    <row r="41" ht="15" customHeight="1">
      <c r="A41" s="894"/>
      <c r="B41" s="895"/>
      <c r="C41" s="895"/>
      <c r="D41" s="895"/>
      <c r="E41" s="895"/>
      <c r="F41" s="895"/>
      <c r="G41" s="895"/>
      <c r="H41" s="895"/>
      <c r="I41" s="896"/>
    </row>
    <row r="42" ht="15" customHeight="1">
      <c r="A42" s="894"/>
      <c r="B42" s="895"/>
      <c r="C42" s="895"/>
      <c r="D42" s="895"/>
      <c r="E42" s="895"/>
      <c r="F42" s="895"/>
      <c r="G42" s="895"/>
      <c r="H42" s="895"/>
      <c r="I42" s="896"/>
    </row>
    <row r="43" ht="15" customHeight="1">
      <c r="A43" s="894"/>
      <c r="B43" s="895"/>
      <c r="C43" s="895"/>
      <c r="D43" s="895"/>
      <c r="E43" s="895"/>
      <c r="F43" s="895"/>
      <c r="G43" s="895"/>
      <c r="H43" s="895"/>
      <c r="I43" s="896"/>
    </row>
    <row r="44" ht="15" customHeight="1">
      <c r="A44" s="900"/>
      <c r="B44" s="901"/>
      <c r="C44" s="901"/>
      <c r="D44" s="901"/>
      <c r="E44" s="901"/>
      <c r="F44" s="901"/>
      <c r="G44" s="901"/>
      <c r="H44" s="901"/>
      <c r="I44" s="902"/>
    </row>
  </sheetData>
  <mergeCells count="19">
    <mergeCell ref="D10:E10"/>
    <mergeCell ref="B10:C10"/>
    <mergeCell ref="D9:E9"/>
    <mergeCell ref="B9:C9"/>
    <mergeCell ref="B8:C8"/>
    <mergeCell ref="G7:H7"/>
    <mergeCell ref="G10:H10"/>
    <mergeCell ref="B7:C7"/>
    <mergeCell ref="B3:E4"/>
    <mergeCell ref="G6:H6"/>
    <mergeCell ref="B6:C6"/>
    <mergeCell ref="G8:H8"/>
    <mergeCell ref="B5:C5"/>
    <mergeCell ref="G4:H4"/>
    <mergeCell ref="B1:D2"/>
    <mergeCell ref="G3:H3"/>
    <mergeCell ref="G5:H5"/>
    <mergeCell ref="G2:H2"/>
    <mergeCell ref="G1:H1"/>
  </mergeCells>
  <pageMargins left="0.45" right="0.45" top="0.5" bottom="0.5" header="0.3" footer="0.3"/>
  <pageSetup firstPageNumber="1" fitToHeight="1" fitToWidth="1" scale="91" useFirstPageNumber="0" orientation="portrait" pageOrder="downThenOver"/>
  <headerFooter>
    <oddFooter>&amp;L&amp;"Calibri,Regular"&amp;11&amp;K000000Iowa Beef Center&amp;R&amp;"Calibri,Regular"&amp;11&amp;K000000Estrus Synch Planner</oddFooter>
  </headerFooter>
  <drawing r:id="rId1"/>
</worksheet>
</file>

<file path=xl/worksheets/sheet6.xml><?xml version="1.0" encoding="utf-8"?>
<worksheet xmlns:r="http://schemas.openxmlformats.org/officeDocument/2006/relationships" xmlns="http://schemas.openxmlformats.org/spreadsheetml/2006/main">
  <dimension ref="A1:J104"/>
  <sheetViews>
    <sheetView workbookViewId="0" showGridLines="0" defaultGridColor="1"/>
  </sheetViews>
  <sheetFormatPr defaultColWidth="8.83333" defaultRowHeight="15" customHeight="1" outlineLevelRow="0" outlineLevelCol="0"/>
  <cols>
    <col min="1" max="1" width="4.35156" style="903" customWidth="1"/>
    <col min="2" max="9" width="16.1719" style="903" customWidth="1"/>
    <col min="10" max="10" width="43.5" style="903" customWidth="1"/>
    <col min="11" max="256" width="8.85156" style="903" customWidth="1"/>
  </cols>
  <sheetData>
    <row r="1" ht="15.75" customHeight="1">
      <c r="A1" s="904"/>
      <c r="B1" s="823"/>
      <c r="C1" s="823"/>
      <c r="D1" s="823"/>
      <c r="E1" s="823"/>
      <c r="F1" s="823"/>
      <c r="G1" s="823"/>
      <c r="H1" s="905"/>
      <c r="I1" s="824">
        <f>NOW()</f>
        <v>43624.640567129631</v>
      </c>
      <c r="J1" s="906"/>
    </row>
    <row r="2" ht="15.75" customHeight="1">
      <c r="A2" s="907"/>
      <c r="B2" s="66"/>
      <c r="C2" s="66"/>
      <c r="D2" s="66"/>
      <c r="E2" s="65"/>
      <c r="F2" s="130"/>
      <c r="G2" t="s" s="830">
        <v>59</v>
      </c>
      <c r="H2" s="831">
        <f>'Planner Worksheet'!J2</f>
        <v>0</v>
      </c>
      <c r="I2" s="832"/>
      <c r="J2" s="908"/>
    </row>
    <row r="3" ht="15.75" customHeight="1">
      <c r="A3" s="907"/>
      <c r="B3" t="s" s="909">
        <v>64</v>
      </c>
      <c r="C3" s="910"/>
      <c r="D3" s="910"/>
      <c r="E3" s="65"/>
      <c r="F3" s="130"/>
      <c r="G3" t="s" s="830">
        <v>60</v>
      </c>
      <c r="H3" s="839">
        <f>'Planner Worksheet'!J3</f>
        <v>0</v>
      </c>
      <c r="I3" s="840"/>
      <c r="J3" s="908"/>
    </row>
    <row r="4" ht="15.75" customHeight="1">
      <c r="A4" s="907"/>
      <c r="B4" s="910"/>
      <c r="C4" s="910"/>
      <c r="D4" s="910"/>
      <c r="E4" s="65"/>
      <c r="F4" s="130"/>
      <c r="G4" t="s" s="830">
        <v>61</v>
      </c>
      <c r="H4" s="839">
        <f>'Planner Worksheet'!J4</f>
        <v>0</v>
      </c>
      <c r="I4" s="840"/>
      <c r="J4" s="908"/>
    </row>
    <row r="5" ht="15.75" customHeight="1">
      <c r="A5" s="907"/>
      <c r="B5" s="66"/>
      <c r="C5" s="66"/>
      <c r="D5" s="66"/>
      <c r="E5" s="65"/>
      <c r="F5" s="130"/>
      <c r="G5" t="s" s="830">
        <v>62</v>
      </c>
      <c r="H5" s="839">
        <f>'Planner Worksheet'!J5</f>
        <v>0</v>
      </c>
      <c r="I5" s="840"/>
      <c r="J5" s="908"/>
    </row>
    <row r="6" ht="15.75" customHeight="1">
      <c r="A6" s="907"/>
      <c r="B6" s="65"/>
      <c r="C6" t="s" s="830">
        <v>95</v>
      </c>
      <c r="D6" s="911">
        <f>'Planner Worksheet'!G17</f>
        <v>43451</v>
      </c>
      <c r="E6" s="65"/>
      <c r="F6" s="130"/>
      <c r="G6" t="s" s="830">
        <v>65</v>
      </c>
      <c r="H6" s="839">
        <f>'Planner Worksheet'!J6</f>
        <v>0</v>
      </c>
      <c r="I6" s="840"/>
      <c r="J6" s="908"/>
    </row>
    <row r="7" ht="15.75" customHeight="1">
      <c r="A7" s="907"/>
      <c r="B7" s="66"/>
      <c r="C7" t="s" s="830">
        <v>500</v>
      </c>
      <c r="D7" s="912">
        <f>'Planner Worksheet'!M2</f>
        <v>43451</v>
      </c>
      <c r="E7" s="65"/>
      <c r="F7" s="130"/>
      <c r="G7" t="s" s="830">
        <v>69</v>
      </c>
      <c r="H7" s="839">
        <f>'Planner Worksheet'!J7</f>
        <v>0</v>
      </c>
      <c r="I7" s="840"/>
      <c r="J7" s="908"/>
    </row>
    <row r="8" ht="16.5" customHeight="1">
      <c r="A8" s="639"/>
      <c r="B8" s="913"/>
      <c r="C8" t="s" s="856">
        <v>501</v>
      </c>
      <c r="D8" s="914">
        <f>D6+281</f>
        <v>43732</v>
      </c>
      <c r="E8" s="144"/>
      <c r="F8" s="144"/>
      <c r="G8" t="s" s="856">
        <v>62</v>
      </c>
      <c r="H8" s="857">
        <f>'Planner Worksheet'!J8</f>
        <v>0</v>
      </c>
      <c r="I8" s="853"/>
      <c r="J8" s="908"/>
    </row>
    <row r="9" ht="16.5" customHeight="1">
      <c r="A9" s="915"/>
      <c r="B9" t="s" s="916">
        <f>'Planner Worksheet'!D51</f>
        <v>502</v>
      </c>
      <c r="C9" s="917"/>
      <c r="D9" s="917"/>
      <c r="E9" s="917"/>
      <c r="F9" s="917"/>
      <c r="G9" s="917"/>
      <c r="H9" s="917"/>
      <c r="I9" s="918"/>
      <c r="J9" s="919"/>
    </row>
    <row r="10" ht="18" customHeight="1">
      <c r="A10" s="915"/>
      <c r="B10" s="920"/>
      <c r="C10" s="921"/>
      <c r="D10" s="922"/>
      <c r="E10" s="923"/>
      <c r="F10" s="923"/>
      <c r="G10" s="924"/>
      <c r="H10" t="s" s="925">
        <v>503</v>
      </c>
      <c r="I10" s="926">
        <f>'Planner Worksheet'!K17</f>
        <v>4</v>
      </c>
      <c r="J10" s="927"/>
    </row>
    <row r="11" ht="15.75" customHeight="1">
      <c r="A11" s="915"/>
      <c r="B11" t="s" s="928">
        <v>195</v>
      </c>
      <c r="C11" s="929"/>
      <c r="D11" s="930"/>
      <c r="E11" s="929"/>
      <c r="F11" s="929"/>
      <c r="G11" s="931"/>
      <c r="H11" s="929"/>
      <c r="I11" s="932"/>
      <c r="J11" s="927"/>
    </row>
    <row r="12" ht="18" customHeight="1">
      <c r="A12" s="915"/>
      <c r="B12" t="s" s="933">
        <f>'Planner Worksheet'!B53</f>
        <v>504</v>
      </c>
      <c r="C12" s="934"/>
      <c r="D12" s="935"/>
      <c r="E12" s="936"/>
      <c r="F12" s="937"/>
      <c r="G12" s="938"/>
      <c r="H12" s="939"/>
      <c r="I12" s="940"/>
      <c r="J12" s="927"/>
    </row>
    <row r="13" ht="15.75" customHeight="1">
      <c r="A13" s="915"/>
      <c r="B13" t="s" s="941">
        <f>'Planner Worksheet'!B54</f>
        <v>505</v>
      </c>
      <c r="C13" s="942"/>
      <c r="D13" s="66"/>
      <c r="E13" s="66"/>
      <c r="F13" s="66"/>
      <c r="G13" s="942"/>
      <c r="H13" s="130"/>
      <c r="I13" s="943"/>
      <c r="J13" s="927"/>
    </row>
    <row r="14" ht="15.75" customHeight="1">
      <c r="A14" s="915"/>
      <c r="B14" t="s" s="941">
        <f>'Planner Worksheet'!B55</f>
        <v>506</v>
      </c>
      <c r="C14" s="942"/>
      <c r="D14" s="66"/>
      <c r="E14" s="66"/>
      <c r="F14" s="66"/>
      <c r="G14" s="942"/>
      <c r="H14" s="130"/>
      <c r="I14" s="943"/>
      <c r="J14" s="927"/>
    </row>
    <row r="15" ht="15.75" customHeight="1">
      <c r="A15" s="915"/>
      <c r="B15" t="s" s="941">
        <f>'Planner Worksheet'!B56</f>
        <v>507</v>
      </c>
      <c r="C15" s="942"/>
      <c r="D15" s="944"/>
      <c r="E15" s="942"/>
      <c r="F15" s="945"/>
      <c r="G15" s="942"/>
      <c r="H15" s="130"/>
      <c r="I15" s="943"/>
      <c r="J15" s="927"/>
    </row>
    <row r="16" ht="15.75" customHeight="1">
      <c r="A16" s="915"/>
      <c r="B16" t="s" s="941">
        <f>'Planner Worksheet'!B57</f>
        <v>508</v>
      </c>
      <c r="C16" s="942"/>
      <c r="D16" s="944"/>
      <c r="E16" s="942"/>
      <c r="F16" s="945"/>
      <c r="G16" s="942"/>
      <c r="H16" s="130"/>
      <c r="I16" s="943"/>
      <c r="J16" s="927"/>
    </row>
    <row r="17" ht="15.75" customHeight="1">
      <c r="A17" s="915"/>
      <c r="B17" t="s" s="941">
        <f>'Planner Worksheet'!B58</f>
        <v>509</v>
      </c>
      <c r="C17" s="942"/>
      <c r="D17" s="944"/>
      <c r="E17" s="942"/>
      <c r="F17" s="945"/>
      <c r="G17" s="942"/>
      <c r="H17" s="130"/>
      <c r="I17" s="943"/>
      <c r="J17" s="927"/>
    </row>
    <row r="18" ht="16.5" customHeight="1">
      <c r="A18" s="915"/>
      <c r="B18" t="s" s="946">
        <f>'Planner Worksheet'!B60</f>
        <v>510</v>
      </c>
      <c r="C18" s="947"/>
      <c r="D18" s="948"/>
      <c r="E18" s="947"/>
      <c r="F18" s="949"/>
      <c r="G18" s="947"/>
      <c r="H18" s="950"/>
      <c r="I18" s="951"/>
      <c r="J18" s="927"/>
    </row>
    <row r="19" ht="30.6" customHeight="1">
      <c r="A19" s="915"/>
      <c r="B19" t="s" s="952">
        <v>204</v>
      </c>
      <c r="C19" t="s" s="953">
        <v>205</v>
      </c>
      <c r="D19" t="s" s="954">
        <v>511</v>
      </c>
      <c r="E19" s="955"/>
      <c r="F19" s="956"/>
      <c r="G19" s="957"/>
      <c r="H19" s="956"/>
      <c r="I19" s="958"/>
      <c r="J19" s="927"/>
    </row>
    <row r="20" ht="15.75" customHeight="1">
      <c r="A20" s="915"/>
      <c r="B20" s="959">
        <f>'Planner Worksheet'!B62</f>
        <v>43443</v>
      </c>
      <c r="C20" t="s" s="960">
        <f>'Planner Worksheet'!C62</f>
        <v>512</v>
      </c>
      <c r="D20" t="s" s="961">
        <f>'Planner Worksheet'!E62</f>
        <v>513</v>
      </c>
      <c r="E20" s="962"/>
      <c r="F20" s="962"/>
      <c r="G20" s="962"/>
      <c r="H20" s="939"/>
      <c r="I20" s="963"/>
      <c r="J20" s="927"/>
    </row>
    <row r="21" ht="15.75" customHeight="1">
      <c r="A21" s="915"/>
      <c r="B21" s="964"/>
      <c r="C21" s="965"/>
      <c r="D21" t="s" s="966">
        <f>'Planner Worksheet'!E63</f>
        <v>210</v>
      </c>
      <c r="E21" s="605"/>
      <c r="F21" s="605"/>
      <c r="G21" s="605"/>
      <c r="H21" s="130"/>
      <c r="I21" s="609"/>
      <c r="J21" s="927"/>
    </row>
    <row r="22" ht="15.75" customHeight="1">
      <c r="A22" s="915"/>
      <c r="B22" s="964"/>
      <c r="C22" s="965"/>
      <c r="D22" t="s" s="966">
        <f>'Planner Worksheet'!E64</f>
      </c>
      <c r="E22" s="605"/>
      <c r="F22" s="605"/>
      <c r="G22" s="605"/>
      <c r="H22" s="130"/>
      <c r="I22" s="609"/>
      <c r="J22" s="927"/>
    </row>
    <row r="23" ht="15.75" customHeight="1">
      <c r="A23" s="915"/>
      <c r="B23" s="964"/>
      <c r="C23" s="965"/>
      <c r="D23" t="s" s="966">
        <f>'Planner Worksheet'!E65</f>
      </c>
      <c r="E23" s="605"/>
      <c r="F23" s="605"/>
      <c r="G23" s="605"/>
      <c r="H23" s="130"/>
      <c r="I23" s="609"/>
      <c r="J23" s="927"/>
    </row>
    <row r="24" ht="15.75" customHeight="1">
      <c r="A24" s="915"/>
      <c r="B24" s="964">
        <f>'Planner Worksheet'!B66</f>
        <v>43448</v>
      </c>
      <c r="C24" t="s" s="967">
        <f>'Planner Worksheet'!C66</f>
        <v>514</v>
      </c>
      <c r="D24" t="s" s="966">
        <f>'Planner Worksheet'!E66</f>
        <v>515</v>
      </c>
      <c r="E24" s="605"/>
      <c r="F24" s="605"/>
      <c r="G24" s="605"/>
      <c r="H24" s="130"/>
      <c r="I24" s="609"/>
      <c r="J24" s="927"/>
    </row>
    <row r="25" ht="15.75" customHeight="1">
      <c r="A25" s="915"/>
      <c r="B25" s="964"/>
      <c r="C25" s="965"/>
      <c r="D25" t="s" s="966">
        <f>'Planner Worksheet'!E67</f>
        <v>213</v>
      </c>
      <c r="E25" s="605"/>
      <c r="F25" s="605"/>
      <c r="G25" s="605"/>
      <c r="H25" s="130"/>
      <c r="I25" s="609"/>
      <c r="J25" s="927"/>
    </row>
    <row r="26" ht="15.75" customHeight="1">
      <c r="A26" s="915"/>
      <c r="B26" s="964"/>
      <c r="C26" s="965"/>
      <c r="D26" s="968">
        <f>'Planner Worksheet'!E68</f>
        <v>0.4166666666666666</v>
      </c>
      <c r="E26" s="605"/>
      <c r="F26" s="605"/>
      <c r="G26" s="605"/>
      <c r="H26" s="130"/>
      <c r="I26" s="609"/>
      <c r="J26" s="927"/>
    </row>
    <row r="27" ht="15.75" customHeight="1">
      <c r="A27" s="915"/>
      <c r="B27" s="964"/>
      <c r="C27" s="965"/>
      <c r="D27" t="s" s="966">
        <f>'Planner Worksheet'!E69</f>
        <v>516</v>
      </c>
      <c r="E27" s="605"/>
      <c r="F27" s="605"/>
      <c r="G27" s="605"/>
      <c r="H27" s="130"/>
      <c r="I27" s="609"/>
      <c r="J27" s="927"/>
    </row>
    <row r="28" ht="15.75" customHeight="1">
      <c r="A28" s="915"/>
      <c r="B28" s="964">
        <f>'Planner Worksheet'!B71</f>
        <v>43451</v>
      </c>
      <c r="C28" t="s" s="967">
        <f>'Planner Worksheet'!C71</f>
        <v>517</v>
      </c>
      <c r="D28" t="s" s="966">
        <f>'Planner Worksheet'!E71</f>
        <v>210</v>
      </c>
      <c r="E28" s="605"/>
      <c r="F28" s="605"/>
      <c r="G28" s="605"/>
      <c r="H28" s="130"/>
      <c r="I28" s="609"/>
      <c r="J28" s="927"/>
    </row>
    <row r="29" ht="15.75" customHeight="1">
      <c r="A29" s="915"/>
      <c r="B29" s="964"/>
      <c r="C29" s="965"/>
      <c r="D29" t="s" s="966">
        <f>'Planner Worksheet'!E72</f>
        <v>518</v>
      </c>
      <c r="E29" s="605"/>
      <c r="F29" s="605"/>
      <c r="G29" s="605"/>
      <c r="H29" s="130"/>
      <c r="I29" s="609"/>
      <c r="J29" s="927"/>
    </row>
    <row r="30" ht="15.75" customHeight="1">
      <c r="A30" s="915"/>
      <c r="B30" s="964"/>
      <c r="C30" s="965"/>
      <c r="D30" s="969">
        <f>'Planner Worksheet'!E73</f>
      </c>
      <c r="E30" s="605"/>
      <c r="F30" s="605"/>
      <c r="G30" s="605"/>
      <c r="H30" s="130"/>
      <c r="I30" s="609"/>
      <c r="J30" s="927"/>
    </row>
    <row r="31" ht="15.75" customHeight="1">
      <c r="A31" s="915"/>
      <c r="B31" s="964"/>
      <c r="C31" s="965"/>
      <c r="D31" s="969">
        <f>'Planner Worksheet'!E74</f>
      </c>
      <c r="E31" s="605"/>
      <c r="F31" s="605"/>
      <c r="G31" s="605"/>
      <c r="H31" s="130"/>
      <c r="I31" s="609"/>
      <c r="J31" s="927"/>
    </row>
    <row r="32" ht="15.75" customHeight="1">
      <c r="A32" s="915"/>
      <c r="B32" s="964">
        <f>'Planner Worksheet'!B76</f>
        <v>43451</v>
      </c>
      <c r="C32" t="s" s="967">
        <f>'Planner Worksheet'!C76</f>
        <v>517</v>
      </c>
      <c r="D32" t="s" s="966">
        <f>'Planner Worksheet'!E76</f>
        <v>519</v>
      </c>
      <c r="E32" s="605"/>
      <c r="F32" s="605"/>
      <c r="G32" s="605"/>
      <c r="H32" s="130"/>
      <c r="I32" s="609"/>
      <c r="J32" s="927"/>
    </row>
    <row r="33" ht="15.75" customHeight="1">
      <c r="A33" s="915"/>
      <c r="B33" s="964"/>
      <c r="C33" s="965"/>
      <c r="D33" t="s" s="966">
        <f>'Planner Worksheet'!E77</f>
        <v>520</v>
      </c>
      <c r="E33" s="605"/>
      <c r="F33" s="605"/>
      <c r="G33" s="605"/>
      <c r="H33" s="130"/>
      <c r="I33" s="609"/>
      <c r="J33" s="927"/>
    </row>
    <row r="34" ht="15.75" customHeight="1">
      <c r="A34" s="915"/>
      <c r="B34" s="964"/>
      <c r="C34" s="965"/>
      <c r="D34" t="s" s="966">
        <f>'Planner Worksheet'!E78</f>
      </c>
      <c r="E34" s="605"/>
      <c r="F34" s="605"/>
      <c r="G34" s="605"/>
      <c r="H34" s="130"/>
      <c r="I34" s="609"/>
      <c r="J34" s="927"/>
    </row>
    <row r="35" ht="15.75" customHeight="1">
      <c r="A35" s="915"/>
      <c r="B35" s="964"/>
      <c r="C35" s="965"/>
      <c r="D35" t="s" s="966">
        <f>'Planner Worksheet'!E79</f>
      </c>
      <c r="E35" s="605"/>
      <c r="F35" s="605"/>
      <c r="G35" s="605"/>
      <c r="H35" s="130"/>
      <c r="I35" s="609"/>
      <c r="J35" s="927"/>
    </row>
    <row r="36" ht="15.75" customHeight="1">
      <c r="A36" s="915"/>
      <c r="B36" s="964">
        <f>'Planner Worksheet'!B81</f>
        <v>43472</v>
      </c>
      <c r="C36" t="s" s="967">
        <f>'Planner Worksheet'!C81</f>
        <v>517</v>
      </c>
      <c r="D36" t="s" s="966">
        <f>'Planner Worksheet'!E81</f>
        <v>521</v>
      </c>
      <c r="E36" s="605"/>
      <c r="F36" s="605"/>
      <c r="G36" s="605"/>
      <c r="H36" s="130"/>
      <c r="I36" s="609"/>
      <c r="J36" s="927"/>
    </row>
    <row r="37" ht="15.75" customHeight="1">
      <c r="A37" s="915"/>
      <c r="B37" s="964"/>
      <c r="C37" s="965"/>
      <c r="D37" t="s" s="966">
        <f>'Planner Worksheet'!E82</f>
      </c>
      <c r="E37" s="605"/>
      <c r="F37" s="605"/>
      <c r="G37" s="605"/>
      <c r="H37" s="130"/>
      <c r="I37" s="609"/>
      <c r="J37" s="927"/>
    </row>
    <row r="38" ht="15.75" customHeight="1">
      <c r="A38" s="915"/>
      <c r="B38" s="964"/>
      <c r="C38" s="965"/>
      <c r="D38" t="s" s="966">
        <f>'Planner Worksheet'!E83</f>
      </c>
      <c r="E38" s="970"/>
      <c r="F38" s="605"/>
      <c r="G38" s="605"/>
      <c r="H38" s="130"/>
      <c r="I38" s="609"/>
      <c r="J38" s="927"/>
    </row>
    <row r="39" ht="15.75" customHeight="1">
      <c r="A39" s="915"/>
      <c r="B39" s="964"/>
      <c r="C39" s="965"/>
      <c r="D39" t="s" s="966">
        <f>'Planner Worksheet'!E84</f>
      </c>
      <c r="E39" s="970"/>
      <c r="F39" s="605"/>
      <c r="G39" s="605"/>
      <c r="H39" s="130"/>
      <c r="I39" s="609"/>
      <c r="J39" s="927"/>
    </row>
    <row r="40" ht="15.75" customHeight="1">
      <c r="A40" s="915"/>
      <c r="B40" t="s" s="971">
        <f>'Planner Worksheet'!B86</f>
      </c>
      <c r="C40" s="972">
        <f>'Planner Worksheet'!C86</f>
        <v>0</v>
      </c>
      <c r="D40" t="s" s="966">
        <f>'Planner Worksheet'!E86</f>
      </c>
      <c r="E40" s="973"/>
      <c r="F40" s="605"/>
      <c r="G40" s="605"/>
      <c r="H40" s="130"/>
      <c r="I40" s="609"/>
      <c r="J40" s="927"/>
    </row>
    <row r="41" ht="15.75" customHeight="1">
      <c r="A41" s="915"/>
      <c r="B41" s="964"/>
      <c r="C41" s="965"/>
      <c r="D41" t="s" s="966">
        <f>'Planner Worksheet'!E87</f>
      </c>
      <c r="E41" s="973"/>
      <c r="F41" s="605"/>
      <c r="G41" s="605"/>
      <c r="H41" s="130"/>
      <c r="I41" s="609"/>
      <c r="J41" s="927"/>
    </row>
    <row r="42" ht="15.75" customHeight="1">
      <c r="A42" s="915"/>
      <c r="B42" s="964"/>
      <c r="C42" s="965"/>
      <c r="D42" t="s" s="966">
        <f>'Planner Worksheet'!E88</f>
      </c>
      <c r="E42" s="973"/>
      <c r="F42" s="605"/>
      <c r="G42" s="605"/>
      <c r="H42" s="130"/>
      <c r="I42" s="609"/>
      <c r="J42" s="927"/>
    </row>
    <row r="43" ht="15.75" customHeight="1">
      <c r="A43" s="915"/>
      <c r="B43" s="964"/>
      <c r="C43" s="965"/>
      <c r="D43" t="s" s="966">
        <f>'Planner Worksheet'!E89</f>
      </c>
      <c r="E43" s="973"/>
      <c r="F43" s="605"/>
      <c r="G43" s="605"/>
      <c r="H43" s="130"/>
      <c r="I43" s="609"/>
      <c r="J43" s="927"/>
    </row>
    <row r="44" ht="15.75" customHeight="1">
      <c r="A44" s="915"/>
      <c r="B44" t="s" s="971">
        <f>'Planner Worksheet'!B90</f>
      </c>
      <c r="C44" s="972">
        <f>'Planner Worksheet'!C90</f>
        <v>0</v>
      </c>
      <c r="D44" t="s" s="966">
        <f>'Planner Worksheet'!E90</f>
      </c>
      <c r="E44" s="973"/>
      <c r="F44" s="605"/>
      <c r="G44" s="605"/>
      <c r="H44" s="130"/>
      <c r="I44" s="609"/>
      <c r="J44" s="927"/>
    </row>
    <row r="45" ht="15.75" customHeight="1">
      <c r="A45" s="915"/>
      <c r="B45" s="964"/>
      <c r="C45" s="965"/>
      <c r="D45" t="s" s="966">
        <f>'Planner Worksheet'!E91</f>
      </c>
      <c r="E45" s="973"/>
      <c r="F45" s="605"/>
      <c r="G45" s="605"/>
      <c r="H45" s="130"/>
      <c r="I45" s="609"/>
      <c r="J45" s="927"/>
    </row>
    <row r="46" ht="15.75" customHeight="1">
      <c r="A46" s="915"/>
      <c r="B46" s="964"/>
      <c r="C46" s="965"/>
      <c r="D46" t="s" s="966">
        <f>'Planner Worksheet'!E92</f>
      </c>
      <c r="E46" s="970"/>
      <c r="F46" s="605"/>
      <c r="G46" s="605"/>
      <c r="H46" s="130"/>
      <c r="I46" s="609"/>
      <c r="J46" s="927"/>
    </row>
    <row r="47" ht="15.75" customHeight="1">
      <c r="A47" s="915"/>
      <c r="B47" s="964"/>
      <c r="C47" s="965"/>
      <c r="D47" t="s" s="966">
        <f>'Planner Worksheet'!E93</f>
      </c>
      <c r="E47" s="970"/>
      <c r="F47" s="605"/>
      <c r="G47" s="605"/>
      <c r="H47" s="130"/>
      <c r="I47" s="609"/>
      <c r="J47" s="927"/>
    </row>
    <row r="48" ht="15.75" customHeight="1">
      <c r="A48" s="915"/>
      <c r="B48" t="s" s="971">
        <f>'Planner Worksheet'!B95</f>
      </c>
      <c r="C48" s="972">
        <f>'Planner Worksheet'!C95</f>
        <v>0</v>
      </c>
      <c r="D48" t="s" s="966">
        <f>'Planner Worksheet'!E95</f>
      </c>
      <c r="E48" s="973"/>
      <c r="F48" s="605"/>
      <c r="G48" s="605"/>
      <c r="H48" s="130"/>
      <c r="I48" s="609"/>
      <c r="J48" s="927"/>
    </row>
    <row r="49" ht="15.75" customHeight="1">
      <c r="A49" s="915"/>
      <c r="B49" s="964"/>
      <c r="C49" s="965"/>
      <c r="D49" t="s" s="966">
        <f>'Planner Worksheet'!E96</f>
      </c>
      <c r="E49" s="973"/>
      <c r="F49" s="605"/>
      <c r="G49" s="605"/>
      <c r="H49" s="130"/>
      <c r="I49" s="609"/>
      <c r="J49" s="927"/>
    </row>
    <row r="50" ht="15.75" customHeight="1">
      <c r="A50" s="915"/>
      <c r="B50" s="964"/>
      <c r="C50" s="965"/>
      <c r="D50" t="s" s="966">
        <f>'Planner Worksheet'!E97</f>
      </c>
      <c r="E50" s="970"/>
      <c r="F50" s="605"/>
      <c r="G50" s="605"/>
      <c r="H50" s="130"/>
      <c r="I50" s="609"/>
      <c r="J50" s="927"/>
    </row>
    <row r="51" ht="15.75" customHeight="1">
      <c r="A51" s="915"/>
      <c r="B51" s="964"/>
      <c r="C51" s="965"/>
      <c r="D51" t="s" s="966">
        <f>'Planner Worksheet'!E98</f>
      </c>
      <c r="E51" s="970"/>
      <c r="F51" s="605"/>
      <c r="G51" s="605"/>
      <c r="H51" s="130"/>
      <c r="I51" s="609"/>
      <c r="J51" s="927"/>
    </row>
    <row r="52" ht="15.75" customHeight="1">
      <c r="A52" s="915"/>
      <c r="B52" t="s" s="971">
        <f>'Planner Worksheet'!B100</f>
      </c>
      <c r="C52" s="972">
        <f>'Planner Worksheet'!C100</f>
        <v>0</v>
      </c>
      <c r="D52" t="s" s="966">
        <f>'Planner Worksheet'!E100</f>
      </c>
      <c r="E52" s="973"/>
      <c r="F52" s="605"/>
      <c r="G52" s="605"/>
      <c r="H52" s="130"/>
      <c r="I52" s="609"/>
      <c r="J52" s="927"/>
    </row>
    <row r="53" ht="15.75" customHeight="1">
      <c r="A53" s="915"/>
      <c r="B53" s="964"/>
      <c r="C53" s="965"/>
      <c r="D53" t="s" s="966">
        <f>'Planner Worksheet'!E101</f>
      </c>
      <c r="E53" s="973"/>
      <c r="F53" s="605"/>
      <c r="G53" s="605"/>
      <c r="H53" s="130"/>
      <c r="I53" s="609"/>
      <c r="J53" s="927"/>
    </row>
    <row r="54" ht="16.5" customHeight="1">
      <c r="A54" s="915"/>
      <c r="B54" s="974"/>
      <c r="C54" s="975"/>
      <c r="D54" t="s" s="976">
        <f>'Planner Worksheet'!E102</f>
      </c>
      <c r="E54" s="977"/>
      <c r="F54" s="978"/>
      <c r="G54" s="117"/>
      <c r="H54" s="144"/>
      <c r="I54" s="979"/>
      <c r="J54" s="927"/>
    </row>
    <row r="55" ht="21.75" customHeight="1">
      <c r="A55" s="915"/>
      <c r="B55" t="s" s="980">
        <v>522</v>
      </c>
      <c r="C55" s="981"/>
      <c r="D55" s="981"/>
      <c r="E55" t="s" s="982">
        <f>B9</f>
        <v>130</v>
      </c>
      <c r="F55" s="983"/>
      <c r="G55" t="s" s="982">
        <f>'Planner Worksheet'!G106:G106</f>
      </c>
      <c r="H55" s="983"/>
      <c r="I55" t="s" s="984">
        <f>'Planner Worksheet'!I106:I106</f>
      </c>
      <c r="J55" s="927"/>
    </row>
    <row r="56" ht="21.75" customHeight="1">
      <c r="A56" s="915"/>
      <c r="B56" s="985"/>
      <c r="C56" s="986"/>
      <c r="D56" s="986"/>
      <c r="E56" s="987"/>
      <c r="F56" s="988"/>
      <c r="G56" s="987"/>
      <c r="H56" s="988"/>
      <c r="I56" s="989"/>
      <c r="J56" s="927"/>
    </row>
    <row r="57" ht="21.75" customHeight="1">
      <c r="A57" s="915"/>
      <c r="B57" s="990"/>
      <c r="C57" s="991"/>
      <c r="D57" s="992"/>
      <c r="E57" s="993"/>
      <c r="F57" s="994"/>
      <c r="G57" s="993"/>
      <c r="H57" s="992"/>
      <c r="I57" s="995"/>
      <c r="J57" s="927"/>
    </row>
    <row r="58" ht="16.5" customHeight="1">
      <c r="A58" s="915"/>
      <c r="B58" t="s" s="996">
        <v>523</v>
      </c>
      <c r="C58" t="s" s="997">
        <v>524</v>
      </c>
      <c r="D58" t="s" s="997">
        <v>223</v>
      </c>
      <c r="E58" t="s" s="997">
        <v>224</v>
      </c>
      <c r="F58" t="s" s="998">
        <v>525</v>
      </c>
      <c r="G58" t="s" s="997">
        <v>224</v>
      </c>
      <c r="H58" t="s" s="998">
        <v>525</v>
      </c>
      <c r="I58" t="s" s="999">
        <v>224</v>
      </c>
      <c r="J58" s="927"/>
    </row>
    <row r="59" ht="15.75" customHeight="1">
      <c r="A59" s="915"/>
      <c r="B59" t="s" s="1000">
        <f>'Planner Worksheet'!B109</f>
        <v>526</v>
      </c>
      <c r="C59" s="1001">
        <f>'Planner Worksheet'!D109</f>
        <v>40</v>
      </c>
      <c r="D59" s="1002">
        <f>'Planner Worksheet'!E109</f>
        <v>2.8</v>
      </c>
      <c r="E59" s="1003">
        <f>'Planner Worksheet'!F109</f>
        <v>112</v>
      </c>
      <c r="F59" s="1004"/>
      <c r="G59" t="s" s="1005">
        <f>'Planner Worksheet'!H109</f>
      </c>
      <c r="H59" s="1006"/>
      <c r="I59" t="s" s="1007">
        <f>'Planner Worksheet'!J109</f>
      </c>
      <c r="J59" s="927"/>
    </row>
    <row r="60" ht="15.75" customHeight="1">
      <c r="A60" s="915"/>
      <c r="B60" t="s" s="1008">
        <f>'Planner Worksheet'!B110</f>
        <v>527</v>
      </c>
      <c r="C60" s="1009">
        <f>'Planner Worksheet'!D110</f>
        <v>40</v>
      </c>
      <c r="D60" s="1010">
        <f>'Planner Worksheet'!E110</f>
        <v>2.9</v>
      </c>
      <c r="E60" s="1011">
        <f>'Planner Worksheet'!F110</f>
        <v>116</v>
      </c>
      <c r="F60" s="70"/>
      <c r="G60" t="s" s="1012">
        <f>'Planner Worksheet'!H110</f>
      </c>
      <c r="H60" s="1013"/>
      <c r="I60" t="s" s="1014">
        <f>'Planner Worksheet'!J110</f>
      </c>
      <c r="J60" s="927"/>
    </row>
    <row r="61" ht="15.75" customHeight="1">
      <c r="A61" s="915"/>
      <c r="B61" t="s" s="1008">
        <f>'Planner Worksheet'!B111</f>
        <v>528</v>
      </c>
      <c r="C61" s="1009">
        <f>'Planner Worksheet'!D111</f>
        <v>0</v>
      </c>
      <c r="D61" s="1010">
        <f>'Planner Worksheet'!E111</f>
        <v>0.2</v>
      </c>
      <c r="E61" s="1011">
        <f>'Planner Worksheet'!F111</f>
        <v>0</v>
      </c>
      <c r="F61" s="70"/>
      <c r="G61" t="s" s="1012">
        <f>'Planner Worksheet'!H111</f>
      </c>
      <c r="H61" s="1013"/>
      <c r="I61" t="s" s="1014">
        <f>'Planner Worksheet'!J111</f>
      </c>
      <c r="J61" s="927"/>
    </row>
    <row r="62" ht="15.75" customHeight="1">
      <c r="A62" s="915"/>
      <c r="B62" t="s" s="1015">
        <f>'Planner Worksheet'!B112</f>
        <v>529</v>
      </c>
      <c r="C62" s="1016">
        <f>'Planner Worksheet'!D112</f>
        <v>20</v>
      </c>
      <c r="D62" s="1017">
        <f>'Planner Worksheet'!E112</f>
        <v>11</v>
      </c>
      <c r="E62" s="1018">
        <f>'Planner Worksheet'!F112</f>
        <v>220</v>
      </c>
      <c r="F62" s="1019"/>
      <c r="G62" t="s" s="1020">
        <f>'Planner Worksheet'!H112</f>
      </c>
      <c r="H62" s="1021"/>
      <c r="I62" t="s" s="1022">
        <f>'Planner Worksheet'!J112</f>
      </c>
      <c r="J62" s="927"/>
    </row>
    <row r="63" ht="15.75" customHeight="1">
      <c r="A63" s="915"/>
      <c r="B63" t="s" s="1023">
        <v>530</v>
      </c>
      <c r="C63" s="1024"/>
      <c r="D63" s="1025"/>
      <c r="E63" s="1026">
        <f>'Planner Worksheet'!F113</f>
        <v>448</v>
      </c>
      <c r="F63" s="1027"/>
      <c r="G63" t="s" s="1028">
        <f>'Planner Worksheet'!H113</f>
      </c>
      <c r="H63" s="1029"/>
      <c r="I63" t="s" s="1030">
        <f>'Planner Worksheet'!J113</f>
      </c>
      <c r="J63" s="927"/>
    </row>
    <row r="64" ht="15.75" customHeight="1">
      <c r="A64" s="915"/>
      <c r="B64" s="1031"/>
      <c r="C64" s="1032"/>
      <c r="D64" s="1033"/>
      <c r="E64" s="1034"/>
      <c r="F64" s="70"/>
      <c r="G64" s="1035"/>
      <c r="H64" s="1013"/>
      <c r="I64" s="1036"/>
      <c r="J64" s="927"/>
    </row>
    <row r="65" ht="15.75" customHeight="1">
      <c r="A65" s="915"/>
      <c r="B65" t="s" s="1037">
        <f>'Planner Worksheet'!B115</f>
        <v>531</v>
      </c>
      <c r="C65" s="1038">
        <f>'Planner Worksheet'!D115</f>
        <v>22.62900793229787</v>
      </c>
      <c r="D65" s="1010">
        <f>'Planner Worksheet'!E115</f>
        <v>13.5</v>
      </c>
      <c r="E65" s="1011">
        <f>'Planner Worksheet'!F115</f>
        <v>305.4916070860212</v>
      </c>
      <c r="F65" s="70"/>
      <c r="G65" t="s" s="1039">
        <f>'Planner Worksheet'!H115</f>
      </c>
      <c r="H65" s="1040"/>
      <c r="I65" t="s" s="1041">
        <f>'Planner Worksheet'!J115</f>
      </c>
      <c r="J65" s="927"/>
    </row>
    <row r="66" ht="15.75" customHeight="1">
      <c r="A66" s="915"/>
      <c r="B66" t="s" s="1037">
        <f>'Planner Worksheet'!B116</f>
        <v>532</v>
      </c>
      <c r="C66" s="1038">
        <f>'Planner Worksheet'!D116</f>
        <v>20</v>
      </c>
      <c r="D66" s="1010">
        <f>'Planner Worksheet'!E116</f>
        <v>25</v>
      </c>
      <c r="E66" s="1011">
        <f>'Planner Worksheet'!F116</f>
        <v>500</v>
      </c>
      <c r="F66" s="70"/>
      <c r="G66" t="s" s="1039">
        <f>'Planner Worksheet'!H116</f>
      </c>
      <c r="H66" s="1013"/>
      <c r="I66" t="s" s="1041">
        <f>'Planner Worksheet'!J116</f>
      </c>
      <c r="J66" s="927"/>
    </row>
    <row r="67" ht="15.75" customHeight="1">
      <c r="A67" s="915"/>
      <c r="B67" t="s" s="1037">
        <f>IF('Planner Worksheet'!F47="","",'Planner Worksheet'!F47)</f>
        <v>533</v>
      </c>
      <c r="C67" s="1038">
        <f>'Planner Worksheet'!D117</f>
        <v>25</v>
      </c>
      <c r="D67" s="1010">
        <f>'Planner Worksheet'!E117</f>
        <v>5</v>
      </c>
      <c r="E67" s="1011">
        <f>'Planner Worksheet'!F117</f>
        <v>125</v>
      </c>
      <c r="F67" s="70"/>
      <c r="G67" t="s" s="1039">
        <f>'Planner Worksheet'!H117</f>
      </c>
      <c r="H67" s="1013"/>
      <c r="I67" t="s" s="1041">
        <f>'Planner Worksheet'!J117</f>
      </c>
      <c r="J67" s="927"/>
    </row>
    <row r="68" ht="15.75" customHeight="1">
      <c r="A68" s="915"/>
      <c r="B68" t="s" s="1037">
        <f>IF('Planner Worksheet'!F48="","",'Planner Worksheet'!F48)</f>
        <v>534</v>
      </c>
      <c r="C68" s="1038">
        <f>'Planner Worksheet'!D118</f>
        <v>40</v>
      </c>
      <c r="D68" s="1010">
        <f>'Planner Worksheet'!E118</f>
        <v>2</v>
      </c>
      <c r="E68" s="1011">
        <f>'Planner Worksheet'!F118</f>
        <v>80</v>
      </c>
      <c r="F68" s="70"/>
      <c r="G68" t="s" s="1039">
        <f>'Planner Worksheet'!H118</f>
      </c>
      <c r="H68" s="1013"/>
      <c r="I68" t="s" s="1041">
        <f>'Planner Worksheet'!J118</f>
      </c>
      <c r="J68" s="927"/>
    </row>
    <row r="69" ht="15.75" customHeight="1">
      <c r="A69" s="915"/>
      <c r="B69" t="s" s="1037">
        <f>IF('Planner Worksheet'!F49="","",'Planner Worksheet'!F49)</f>
      </c>
      <c r="C69" t="s" s="1042">
        <f>'Planner Worksheet'!D119</f>
      </c>
      <c r="D69" t="s" s="1042">
        <f>'Planner Worksheet'!E119</f>
      </c>
      <c r="E69" s="1011">
        <f>'Planner Worksheet'!F119</f>
        <v>0</v>
      </c>
      <c r="F69" s="70"/>
      <c r="G69" t="s" s="1039">
        <f>'Planner Worksheet'!H119</f>
      </c>
      <c r="H69" s="1013"/>
      <c r="I69" t="s" s="1041">
        <f>'Planner Worksheet'!J119</f>
      </c>
      <c r="J69" s="927"/>
    </row>
    <row r="70" ht="15.75" customHeight="1">
      <c r="A70" s="915"/>
      <c r="B70" s="1043"/>
      <c r="C70" s="1044"/>
      <c r="D70" s="1045"/>
      <c r="E70" s="1018">
        <f>'Planner Worksheet'!F120</f>
        <v>0</v>
      </c>
      <c r="F70" s="1019"/>
      <c r="G70" s="1018">
        <f>'Planner Worksheet'!H120</f>
        <v>0</v>
      </c>
      <c r="H70" s="1021"/>
      <c r="I70" s="1046">
        <f>'Planner Worksheet'!J120</f>
        <v>0</v>
      </c>
      <c r="J70" s="927"/>
    </row>
    <row r="71" ht="16.5" customHeight="1">
      <c r="A71" s="915"/>
      <c r="B71" t="s" s="1047">
        <v>234</v>
      </c>
      <c r="C71" s="1048"/>
      <c r="D71" s="1049"/>
      <c r="E71" s="1050">
        <f>'Planner Worksheet'!F121</f>
        <v>1010.491607086021</v>
      </c>
      <c r="F71" s="1051"/>
      <c r="G71" t="s" s="1052">
        <f>'Planner Worksheet'!H121</f>
      </c>
      <c r="H71" s="1053"/>
      <c r="I71" t="s" s="1054">
        <f>'Planner Worksheet'!J121</f>
      </c>
      <c r="J71" s="927"/>
    </row>
    <row r="72" ht="15.75" customHeight="1">
      <c r="A72" s="915"/>
      <c r="B72" t="s" s="1055">
        <v>235</v>
      </c>
      <c r="C72" s="1056"/>
      <c r="D72" s="1057"/>
      <c r="E72" s="1058">
        <f>'Planner Worksheet'!F123</f>
        <v>1458.491607086021</v>
      </c>
      <c r="F72" s="1056"/>
      <c r="G72" t="s" s="1059">
        <f>'Planner Worksheet'!H123</f>
      </c>
      <c r="H72" s="1060"/>
      <c r="I72" t="s" s="1061">
        <f>'Planner Worksheet'!J123</f>
      </c>
      <c r="J72" s="927"/>
    </row>
    <row r="73" ht="15.75" customHeight="1">
      <c r="A73" s="915"/>
      <c r="B73" t="s" s="1062">
        <v>236</v>
      </c>
      <c r="C73" s="466"/>
      <c r="D73" s="464"/>
      <c r="E73" s="1063">
        <f>'Planner Worksheet'!F124</f>
        <v>72.92458035430107</v>
      </c>
      <c r="F73" s="466"/>
      <c r="G73" t="s" s="1064">
        <f>'Planner Worksheet'!H124</f>
      </c>
      <c r="H73" s="1065"/>
      <c r="I73" t="s" s="1066">
        <f>'Planner Worksheet'!J124</f>
      </c>
      <c r="J73" s="927"/>
    </row>
    <row r="74" ht="16.5" customHeight="1">
      <c r="A74" s="915"/>
      <c r="B74" s="1067"/>
      <c r="C74" s="1068"/>
      <c r="D74" s="1069"/>
      <c r="E74" s="1070"/>
      <c r="F74" s="1069"/>
      <c r="G74" s="1070"/>
      <c r="H74" s="1069"/>
      <c r="I74" s="1071"/>
      <c r="J74" s="927"/>
    </row>
    <row r="75" ht="15.75" customHeight="1">
      <c r="A75" s="915"/>
      <c r="B75" t="s" s="1000">
        <v>238</v>
      </c>
      <c r="C75" s="1001"/>
      <c r="D75" s="1072"/>
      <c r="E75" s="1073">
        <f>'Planner Worksheet'!F127</f>
        <v>36</v>
      </c>
      <c r="F75" s="1004"/>
      <c r="G75" t="s" s="1074">
        <f>'Planner Worksheet'!H127</f>
      </c>
      <c r="H75" s="1006"/>
      <c r="I75" t="s" s="1075">
        <f>'Planner Worksheet'!J127</f>
      </c>
      <c r="J75" s="927"/>
    </row>
    <row r="76" ht="15.75" customHeight="1">
      <c r="A76" s="915"/>
      <c r="B76" t="s" s="1008">
        <v>535</v>
      </c>
      <c r="C76" s="1076">
        <f>'Planner Worksheet'!D128</f>
        <v>14400</v>
      </c>
      <c r="D76" s="1077">
        <f>'Planner Worksheet'!E128</f>
        <v>0.06</v>
      </c>
      <c r="E76" s="1078">
        <f>'Planner Worksheet'!F128</f>
        <v>864</v>
      </c>
      <c r="F76" s="70"/>
      <c r="G76" t="s" s="1079">
        <f>'Planner Worksheet'!H128</f>
      </c>
      <c r="H76" s="1013"/>
      <c r="I76" t="s" s="1080">
        <f>'Planner Worksheet'!J128</f>
      </c>
      <c r="J76" s="927"/>
    </row>
    <row r="77" ht="15.75" customHeight="1">
      <c r="A77" s="915"/>
      <c r="B77" t="s" s="1008">
        <v>536</v>
      </c>
      <c r="C77" s="1076">
        <f>'Planner Worksheet'!D129</f>
        <v>2880</v>
      </c>
      <c r="D77" s="1077">
        <f>'Planner Worksheet'!E129</f>
        <v>0.11</v>
      </c>
      <c r="E77" s="1035">
        <f>'Planner Worksheet'!F129</f>
        <v>316.8</v>
      </c>
      <c r="F77" s="70"/>
      <c r="G77" t="s" s="1012">
        <f>'Planner Worksheet'!H129</f>
      </c>
      <c r="H77" s="1013"/>
      <c r="I77" t="s" s="1014">
        <f>'Planner Worksheet'!J129</f>
      </c>
      <c r="J77" s="927"/>
    </row>
    <row r="78" ht="15.75" customHeight="1">
      <c r="A78" s="915"/>
      <c r="B78" t="s" s="1008">
        <v>537</v>
      </c>
      <c r="C78" s="1076">
        <f>'Planner Worksheet'!D130</f>
        <v>720</v>
      </c>
      <c r="D78" s="1077">
        <f>'Planner Worksheet'!E130</f>
        <v>0.3</v>
      </c>
      <c r="E78" s="1035">
        <f>'Planner Worksheet'!F130</f>
        <v>216</v>
      </c>
      <c r="F78" s="70"/>
      <c r="G78" t="s" s="1012">
        <f>'Planner Worksheet'!H130</f>
      </c>
      <c r="H78" s="1013"/>
      <c r="I78" t="s" s="1014">
        <f>'Planner Worksheet'!J130</f>
      </c>
      <c r="J78" s="927"/>
    </row>
    <row r="79" ht="15.75" customHeight="1">
      <c r="A79" s="915"/>
      <c r="B79" t="s" s="1015">
        <v>538</v>
      </c>
      <c r="C79" s="1081">
        <f>'Planner Worksheet'!D131</f>
        <v>180</v>
      </c>
      <c r="D79" s="1082">
        <f>'Planner Worksheet'!E131</f>
        <v>0.25</v>
      </c>
      <c r="E79" s="1083">
        <f>'Planner Worksheet'!F131</f>
        <v>45</v>
      </c>
      <c r="F79" s="1019"/>
      <c r="G79" t="s" s="1020">
        <f>'Planner Worksheet'!H131</f>
      </c>
      <c r="H79" s="1021"/>
      <c r="I79" t="s" s="1022">
        <f>'Planner Worksheet'!J131</f>
      </c>
      <c r="J79" s="927"/>
    </row>
    <row r="80" ht="16.5" customHeight="1">
      <c r="A80" s="915"/>
      <c r="B80" t="s" s="1047">
        <v>243</v>
      </c>
      <c r="C80" s="1084"/>
      <c r="D80" s="1049"/>
      <c r="E80" s="1085">
        <f>'Planner Worksheet'!F132</f>
        <v>1441.8</v>
      </c>
      <c r="F80" s="1086"/>
      <c r="G80" t="s" s="1087">
        <f>'Planner Worksheet'!H132</f>
      </c>
      <c r="H80" s="1086"/>
      <c r="I80" t="s" s="1088">
        <f>'Planner Worksheet'!J132</f>
      </c>
      <c r="J80" s="927"/>
    </row>
    <row r="81" ht="16.5" customHeight="1">
      <c r="A81" s="915"/>
      <c r="B81" t="s" s="1089">
        <v>224</v>
      </c>
      <c r="C81" s="1090"/>
      <c r="D81" s="1091"/>
      <c r="E81" s="1092">
        <f>E80+E72</f>
        <v>2900.291607086021</v>
      </c>
      <c r="F81" s="1093"/>
      <c r="G81" s="1093">
        <f>G80+G72</f>
      </c>
      <c r="H81" s="1093"/>
      <c r="I81" s="1094">
        <f>I80+I72</f>
      </c>
      <c r="J81" s="927"/>
    </row>
    <row r="82" ht="16.5" customHeight="1">
      <c r="A82" s="915"/>
      <c r="B82" t="s" s="1095">
        <v>539</v>
      </c>
      <c r="C82" s="1096"/>
      <c r="D82" s="1097"/>
      <c r="E82" s="1098"/>
      <c r="F82" s="1099"/>
      <c r="G82" s="1099"/>
      <c r="H82" s="1099"/>
      <c r="I82" s="1100"/>
      <c r="J82" s="927"/>
    </row>
    <row r="83" ht="15.75" customHeight="1">
      <c r="A83" s="639"/>
      <c r="B83" t="s" s="1101">
        <v>540</v>
      </c>
      <c r="C83" s="1102"/>
      <c r="D83" s="1102"/>
      <c r="E83" s="1102"/>
      <c r="F83" s="1102"/>
      <c r="G83" s="1102"/>
      <c r="H83" s="1102"/>
      <c r="I83" s="601"/>
      <c r="J83" s="908"/>
    </row>
    <row r="84" ht="16.5" customHeight="1">
      <c r="A84" s="639"/>
      <c r="B84" s="1103"/>
      <c r="C84" s="1103"/>
      <c r="D84" s="1103"/>
      <c r="E84" s="1103"/>
      <c r="F84" s="1103"/>
      <c r="G84" s="1103"/>
      <c r="H84" s="1103"/>
      <c r="I84" s="144"/>
      <c r="J84" s="908"/>
    </row>
    <row r="85" ht="16.5" customHeight="1">
      <c r="A85" s="915"/>
      <c r="B85" t="s" s="1104">
        <v>246</v>
      </c>
      <c r="C85" s="1105"/>
      <c r="D85" s="1105"/>
      <c r="E85" s="1105"/>
      <c r="F85" s="1105"/>
      <c r="G85" s="1105"/>
      <c r="H85" s="1105"/>
      <c r="I85" t="s" s="1106">
        <f>'Planner Worksheet'!J136</f>
        <v>541</v>
      </c>
      <c r="J85" s="927"/>
    </row>
    <row r="86" ht="27.1" customHeight="1">
      <c r="A86" s="915"/>
      <c r="B86" t="s" s="1107">
        <v>248</v>
      </c>
      <c r="C86" s="1056"/>
      <c r="D86" s="1056"/>
      <c r="E86" s="1108"/>
      <c r="F86" s="1056"/>
      <c r="G86" t="s" s="1109">
        <v>249</v>
      </c>
      <c r="H86" s="1056"/>
      <c r="I86" s="1110"/>
      <c r="J86" s="927"/>
    </row>
    <row r="87" ht="16.6" customHeight="1">
      <c r="A87" s="915"/>
      <c r="B87" t="s" s="1111">
        <v>250</v>
      </c>
      <c r="C87" s="233"/>
      <c r="D87" s="233"/>
      <c r="E87" s="1112">
        <f>'Planner Worksheet'!F139</f>
        <v>0.35</v>
      </c>
      <c r="F87" s="1112">
        <f>'Planner Worksheet'!G139</f>
        <v>0.45</v>
      </c>
      <c r="G87" s="1112">
        <f>'Planner Worksheet'!H139</f>
        <v>0.5499999999999999</v>
      </c>
      <c r="H87" s="1112">
        <f>'Planner Worksheet'!I139</f>
        <v>0.6499999999999999</v>
      </c>
      <c r="I87" s="1113">
        <f>'Planner Worksheet'!J139</f>
        <v>0.7499999999999999</v>
      </c>
      <c r="J87" s="927"/>
    </row>
    <row r="88" ht="15.75" customHeight="1">
      <c r="A88" s="915"/>
      <c r="B88" s="1114">
        <f>'Planner Worksheet'!B140</f>
        <v>1</v>
      </c>
      <c r="C88" t="s" s="1115">
        <v>251</v>
      </c>
      <c r="D88" s="1116"/>
      <c r="E88" s="1117">
        <f>E87*$B88</f>
        <v>0.35</v>
      </c>
      <c r="F88" s="1117">
        <f>F87*$B88</f>
        <v>0.45</v>
      </c>
      <c r="G88" s="1117">
        <f>G87*$B88</f>
        <v>0.5499999999999999</v>
      </c>
      <c r="H88" s="1117">
        <f>H87*$B88</f>
        <v>0.6499999999999999</v>
      </c>
      <c r="I88" s="1118">
        <f>I87*$B88</f>
        <v>0.7499999999999999</v>
      </c>
      <c r="J88" s="927"/>
    </row>
    <row r="89" ht="15.75" customHeight="1">
      <c r="A89" s="915"/>
      <c r="B89" s="1119"/>
      <c r="C89" t="s" s="1120">
        <v>542</v>
      </c>
      <c r="D89" s="1121"/>
      <c r="E89" s="1122">
        <f>'Planner Worksheet'!F141</f>
        <v>208.3559438694316</v>
      </c>
      <c r="F89" s="1122">
        <f>'Planner Worksheet'!G141</f>
        <v>162.0546230095579</v>
      </c>
      <c r="G89" s="1122">
        <f>'Planner Worksheet'!H141</f>
        <v>132.5901460987292</v>
      </c>
      <c r="H89" s="1122">
        <f>'Planner Worksheet'!I141</f>
        <v>112.1916620835401</v>
      </c>
      <c r="I89" s="1123">
        <f>'Planner Worksheet'!J141</f>
        <v>97.23277380573477</v>
      </c>
      <c r="J89" s="927"/>
    </row>
    <row r="90" ht="15.75" customHeight="1">
      <c r="A90" s="915"/>
      <c r="B90" s="1114">
        <f>'Planner Worksheet'!B142</f>
        <v>0</v>
      </c>
      <c r="C90" t="s" s="1115">
        <v>251</v>
      </c>
      <c r="D90" s="1116"/>
      <c r="E90" s="1117">
        <f>E$87*$B90</f>
        <v>0</v>
      </c>
      <c r="F90" s="1117">
        <f>F$87*$B90</f>
        <v>0</v>
      </c>
      <c r="G90" s="1117">
        <f>G$87*$B90</f>
        <v>0</v>
      </c>
      <c r="H90" s="1117">
        <f>H$87*$B90</f>
        <v>0</v>
      </c>
      <c r="I90" s="1117">
        <f>I$87*$B90</f>
        <v>0</v>
      </c>
      <c r="J90" s="1124"/>
    </row>
    <row r="91" ht="15.75" customHeight="1">
      <c r="A91" s="915"/>
      <c r="B91" s="1119"/>
      <c r="C91" t="s" s="1120">
        <v>542</v>
      </c>
      <c r="D91" s="1121"/>
      <c r="E91" s="1122">
        <f>'Planner Worksheet'!F143</f>
        <v>0</v>
      </c>
      <c r="F91" s="1122">
        <f>'Planner Worksheet'!G143</f>
        <v>0</v>
      </c>
      <c r="G91" s="1122">
        <f>'Planner Worksheet'!H143</f>
        <v>0</v>
      </c>
      <c r="H91" s="1122">
        <f>'Planner Worksheet'!I143</f>
        <v>0</v>
      </c>
      <c r="I91" s="1123">
        <f>'Planner Worksheet'!J143</f>
        <v>0</v>
      </c>
      <c r="J91" s="927"/>
    </row>
    <row r="92" ht="15.75" customHeight="1">
      <c r="A92" s="915"/>
      <c r="B92" s="1114">
        <f>'Planner Worksheet'!B144</f>
        <v>0</v>
      </c>
      <c r="C92" t="s" s="1115">
        <v>251</v>
      </c>
      <c r="D92" s="1116"/>
      <c r="E92" s="1117">
        <f>E$87*$B92</f>
        <v>0</v>
      </c>
      <c r="F92" s="1117">
        <f>F$87*$B92</f>
        <v>0</v>
      </c>
      <c r="G92" s="1117">
        <f>G$87*$B92</f>
        <v>0</v>
      </c>
      <c r="H92" s="1117">
        <f>H$87*$B92</f>
        <v>0</v>
      </c>
      <c r="I92" s="1117">
        <f>I$87*$B92</f>
        <v>0</v>
      </c>
      <c r="J92" s="1124"/>
    </row>
    <row r="93" ht="15.75" customHeight="1">
      <c r="A93" s="915"/>
      <c r="B93" s="1119"/>
      <c r="C93" t="s" s="1120">
        <v>542</v>
      </c>
      <c r="D93" s="1121"/>
      <c r="E93" s="1122">
        <f>'Planner Worksheet'!F145</f>
        <v>0</v>
      </c>
      <c r="F93" s="1122">
        <f>'Planner Worksheet'!G145</f>
        <v>0</v>
      </c>
      <c r="G93" s="1122">
        <f>'Planner Worksheet'!H145</f>
        <v>0</v>
      </c>
      <c r="H93" s="1122">
        <f>'Planner Worksheet'!I145</f>
        <v>0</v>
      </c>
      <c r="I93" s="1123">
        <f>'Planner Worksheet'!J145</f>
        <v>0</v>
      </c>
      <c r="J93" s="927"/>
    </row>
    <row r="94" ht="15.75" customHeight="1">
      <c r="A94" s="915"/>
      <c r="B94" s="1114">
        <f>'Planner Worksheet'!B146</f>
        <v>0</v>
      </c>
      <c r="C94" t="s" s="1115">
        <v>251</v>
      </c>
      <c r="D94" s="1116"/>
      <c r="E94" s="1117">
        <f>E$87*$B94</f>
        <v>0</v>
      </c>
      <c r="F94" s="1117">
        <f>F$87*$B94</f>
        <v>0</v>
      </c>
      <c r="G94" s="1117">
        <f>G$87*$B94</f>
        <v>0</v>
      </c>
      <c r="H94" s="1117">
        <f>H$87*$B94</f>
        <v>0</v>
      </c>
      <c r="I94" s="1117">
        <f>I$87*$B94</f>
        <v>0</v>
      </c>
      <c r="J94" s="1124"/>
    </row>
    <row r="95" ht="15.75" customHeight="1">
      <c r="A95" s="915"/>
      <c r="B95" s="1119"/>
      <c r="C95" t="s" s="1120">
        <v>542</v>
      </c>
      <c r="D95" s="1121"/>
      <c r="E95" s="1122">
        <f>'Planner Worksheet'!F147</f>
        <v>0</v>
      </c>
      <c r="F95" s="1122">
        <f>'Planner Worksheet'!G147</f>
        <v>0</v>
      </c>
      <c r="G95" s="1122">
        <f>'Planner Worksheet'!H147</f>
        <v>0</v>
      </c>
      <c r="H95" s="1122">
        <f>'Planner Worksheet'!I147</f>
        <v>0</v>
      </c>
      <c r="I95" s="1123">
        <f>'Planner Worksheet'!J147</f>
        <v>0</v>
      </c>
      <c r="J95" s="927"/>
    </row>
    <row r="96" ht="15.75" customHeight="1">
      <c r="A96" s="915"/>
      <c r="B96" s="1114">
        <f>'Planner Worksheet'!B148</f>
        <v>0</v>
      </c>
      <c r="C96" t="s" s="1115">
        <v>251</v>
      </c>
      <c r="D96" s="1116"/>
      <c r="E96" s="1117">
        <f>E$87*$B96</f>
        <v>0</v>
      </c>
      <c r="F96" s="1117">
        <f>F$87*$B96</f>
        <v>0</v>
      </c>
      <c r="G96" s="1117">
        <f>G$87*$B96</f>
        <v>0</v>
      </c>
      <c r="H96" s="1117">
        <f>H$87*$B96</f>
        <v>0</v>
      </c>
      <c r="I96" s="1117">
        <f>I$87*$B96</f>
        <v>0</v>
      </c>
      <c r="J96" s="1124"/>
    </row>
    <row r="97" ht="16.5" customHeight="1">
      <c r="A97" s="915"/>
      <c r="B97" s="1119"/>
      <c r="C97" t="s" s="1125">
        <v>542</v>
      </c>
      <c r="D97" s="1126"/>
      <c r="E97" s="1127">
        <f>'Planner Worksheet'!F149</f>
        <v>0</v>
      </c>
      <c r="F97" s="1127">
        <f>'Planner Worksheet'!G149</f>
        <v>0</v>
      </c>
      <c r="G97" s="1127">
        <f>'Planner Worksheet'!H149</f>
        <v>0</v>
      </c>
      <c r="H97" s="1127">
        <f>'Planner Worksheet'!I149</f>
        <v>0</v>
      </c>
      <c r="I97" s="1128">
        <f>'Planner Worksheet'!J149</f>
        <v>0</v>
      </c>
      <c r="J97" s="927"/>
    </row>
    <row r="98" ht="15.75" customHeight="1">
      <c r="A98" s="639"/>
      <c r="B98" t="s" s="1129">
        <f>'Planner Worksheet'!G150</f>
        <v>543</v>
      </c>
      <c r="C98" s="1130"/>
      <c r="D98" s="1131">
        <f>'Planner Worksheet'!H150</f>
        <v>72.09</v>
      </c>
      <c r="E98" t="s" s="1132">
        <f>'Planner Worksheet'!I150</f>
        <v>544</v>
      </c>
      <c r="F98" s="1130"/>
      <c r="G98" s="1130"/>
      <c r="H98" s="1133"/>
      <c r="I98" s="433"/>
      <c r="J98" s="908"/>
    </row>
    <row r="99" ht="15.75" customHeight="1">
      <c r="A99" s="639"/>
      <c r="B99" t="s" s="1134">
        <v>545</v>
      </c>
      <c r="C99" s="1135"/>
      <c r="D99" s="1136"/>
      <c r="E99" s="1135"/>
      <c r="F99" s="1135"/>
      <c r="G99" s="1135"/>
      <c r="H99" s="1135"/>
      <c r="I99" s="1135"/>
      <c r="J99" s="908"/>
    </row>
    <row r="100" ht="15.75" customHeight="1">
      <c r="A100" s="639"/>
      <c r="B100" s="1135"/>
      <c r="C100" s="1135"/>
      <c r="D100" s="1136"/>
      <c r="E100" s="1135"/>
      <c r="F100" s="1135"/>
      <c r="G100" s="1135"/>
      <c r="H100" s="1135"/>
      <c r="I100" s="1135"/>
      <c r="J100" s="908"/>
    </row>
    <row r="101" ht="15.75" customHeight="1">
      <c r="A101" s="639"/>
      <c r="B101" s="1135"/>
      <c r="C101" s="1135"/>
      <c r="D101" s="1136"/>
      <c r="E101" s="1135"/>
      <c r="F101" s="1135"/>
      <c r="G101" s="1135"/>
      <c r="H101" s="1135"/>
      <c r="I101" s="1135"/>
      <c r="J101" s="908"/>
    </row>
    <row r="102" ht="16.5" customHeight="1">
      <c r="A102" s="639"/>
      <c r="B102" s="414"/>
      <c r="C102" s="414"/>
      <c r="D102" s="1137"/>
      <c r="E102" s="1138"/>
      <c r="F102" s="414"/>
      <c r="G102" s="414"/>
      <c r="H102" s="414"/>
      <c r="I102" s="414"/>
      <c r="J102" s="908"/>
    </row>
    <row r="103" ht="16.5" customHeight="1">
      <c r="A103" s="639"/>
      <c r="B103" s="118"/>
      <c r="C103" s="118"/>
      <c r="D103" s="1139"/>
      <c r="E103" s="1140"/>
      <c r="F103" s="154"/>
      <c r="G103" s="118"/>
      <c r="H103" s="118"/>
      <c r="I103" s="118"/>
      <c r="J103" s="908"/>
    </row>
    <row r="104" ht="15.75" customHeight="1">
      <c r="A104" s="641"/>
      <c r="B104" s="642"/>
      <c r="C104" s="642"/>
      <c r="D104" s="643"/>
      <c r="E104" s="1141"/>
      <c r="F104" s="642"/>
      <c r="G104" s="642"/>
      <c r="H104" s="642"/>
      <c r="I104" s="642"/>
      <c r="J104" s="1142"/>
    </row>
  </sheetData>
  <mergeCells count="29">
    <mergeCell ref="C95:D95"/>
    <mergeCell ref="C94:D94"/>
    <mergeCell ref="B94:B95"/>
    <mergeCell ref="C90:D90"/>
    <mergeCell ref="C89:D89"/>
    <mergeCell ref="B92:B93"/>
    <mergeCell ref="C88:D88"/>
    <mergeCell ref="B88:B89"/>
    <mergeCell ref="B83:H84"/>
    <mergeCell ref="I55:I57"/>
    <mergeCell ref="B90:B91"/>
    <mergeCell ref="E55:E57"/>
    <mergeCell ref="C97:D97"/>
    <mergeCell ref="B55:D56"/>
    <mergeCell ref="H8:I8"/>
    <mergeCell ref="B9:I9"/>
    <mergeCell ref="C96:D96"/>
    <mergeCell ref="H7:I7"/>
    <mergeCell ref="H4:I4"/>
    <mergeCell ref="G55:G57"/>
    <mergeCell ref="H5:I5"/>
    <mergeCell ref="C92:D92"/>
    <mergeCell ref="B96:B97"/>
    <mergeCell ref="H3:I3"/>
    <mergeCell ref="C91:D91"/>
    <mergeCell ref="C93:D93"/>
    <mergeCell ref="B3:D4"/>
    <mergeCell ref="H2:I2"/>
    <mergeCell ref="H6:I6"/>
  </mergeCells>
  <pageMargins left="0.45" right="0.45" top="0.5" bottom="0.5" header="0.3" footer="0.3"/>
  <pageSetup firstPageNumber="1" fitToHeight="1" fitToWidth="1" scale="75" useFirstPageNumber="0" orientation="portrait" pageOrder="downThenOver"/>
  <headerFooter>
    <oddFooter>&amp;L&amp;"Calibri,Regular"&amp;11&amp;K000000Iowa Beef Center&amp;R&amp;"Calibri,Regular"&amp;11&amp;K000000Estrus Synch Planner</oddFooter>
  </headerFooter>
  <drawing r:id="rId1"/>
</worksheet>
</file>

<file path=xl/worksheets/sheet7.xml><?xml version="1.0" encoding="utf-8"?>
<worksheet xmlns:r="http://schemas.openxmlformats.org/officeDocument/2006/relationships" xmlns="http://schemas.openxmlformats.org/spreadsheetml/2006/main">
  <sheetPr>
    <pageSetUpPr fitToPage="1"/>
  </sheetPr>
  <dimension ref="A1:O40"/>
  <sheetViews>
    <sheetView workbookViewId="0" showGridLines="0" defaultGridColor="1"/>
  </sheetViews>
  <sheetFormatPr defaultColWidth="8.83333" defaultRowHeight="15" customHeight="1" outlineLevelRow="0" outlineLevelCol="0"/>
  <cols>
    <col min="1" max="14" width="8.85156" style="1143" customWidth="1"/>
    <col min="15" max="15" width="49" style="1143" customWidth="1"/>
    <col min="16" max="256" width="8.85156" style="1143" customWidth="1"/>
  </cols>
  <sheetData>
    <row r="1" ht="101.25" customHeight="1">
      <c r="A1" s="1144"/>
      <c r="B1" s="1145"/>
      <c r="C1" s="1146"/>
      <c r="D1" t="s" s="1147">
        <v>546</v>
      </c>
      <c r="E1" s="1146"/>
      <c r="F1" s="1146"/>
      <c r="G1" s="1146"/>
      <c r="H1" s="1146"/>
      <c r="I1" s="1146"/>
      <c r="J1" s="1146"/>
      <c r="K1" s="1146"/>
      <c r="L1" s="1146"/>
      <c r="M1" s="1146"/>
      <c r="N1" s="1146"/>
      <c r="O1" s="113"/>
    </row>
    <row r="2" ht="18.75" customHeight="1">
      <c r="A2" s="1148"/>
      <c r="B2" s="1149"/>
      <c r="C2" s="1150"/>
      <c r="D2" s="1150"/>
      <c r="E2" s="1150"/>
      <c r="F2" s="1150"/>
      <c r="G2" s="1150"/>
      <c r="H2" s="1150"/>
      <c r="I2" s="1150"/>
      <c r="J2" s="1150"/>
      <c r="K2" s="1150"/>
      <c r="L2" s="1150"/>
      <c r="M2" s="1150"/>
      <c r="N2" s="1150"/>
      <c r="O2" s="124"/>
    </row>
    <row r="3" ht="8" customHeight="1">
      <c r="A3" s="1151"/>
      <c r="B3" s="1152"/>
      <c r="C3" s="1153"/>
      <c r="D3" s="1153"/>
      <c r="E3" s="1153"/>
      <c r="F3" s="1153"/>
      <c r="G3" s="1153"/>
      <c r="H3" s="1153"/>
      <c r="I3" s="1153"/>
      <c r="J3" s="1153"/>
      <c r="K3" s="1153"/>
      <c r="L3" s="1153"/>
      <c r="M3" s="1153"/>
      <c r="N3" s="1153"/>
      <c r="O3" s="124"/>
    </row>
    <row r="4" ht="8" customHeight="1">
      <c r="A4" s="48"/>
      <c r="B4" s="1154"/>
      <c r="C4" s="51"/>
      <c r="D4" s="51"/>
      <c r="E4" s="51"/>
      <c r="F4" s="51"/>
      <c r="G4" s="51"/>
      <c r="H4" s="51"/>
      <c r="I4" s="51"/>
      <c r="J4" s="51"/>
      <c r="K4" s="51"/>
      <c r="L4" s="51"/>
      <c r="M4" s="51"/>
      <c r="N4" s="1155"/>
      <c r="O4" s="1156"/>
    </row>
    <row r="5" ht="15.75" customHeight="1">
      <c r="A5" s="1157"/>
      <c r="B5" s="1158"/>
      <c r="C5" s="1158"/>
      <c r="D5" s="1158"/>
      <c r="E5" s="1158"/>
      <c r="F5" s="1158"/>
      <c r="G5" s="1158"/>
      <c r="H5" s="1158"/>
      <c r="I5" s="1158"/>
      <c r="J5" s="1158"/>
      <c r="K5" s="1158"/>
      <c r="L5" s="1158"/>
      <c r="M5" s="1158"/>
      <c r="N5" s="1158"/>
      <c r="O5" s="124"/>
    </row>
    <row r="6" ht="15" customHeight="1">
      <c r="A6" s="89"/>
      <c r="B6" s="17"/>
      <c r="C6" s="17"/>
      <c r="D6" s="17"/>
      <c r="E6" s="17"/>
      <c r="F6" s="17"/>
      <c r="G6" s="17"/>
      <c r="H6" s="17"/>
      <c r="I6" s="17"/>
      <c r="J6" s="17"/>
      <c r="K6" s="17"/>
      <c r="L6" s="17"/>
      <c r="M6" s="17"/>
      <c r="N6" s="17"/>
      <c r="O6" s="124"/>
    </row>
    <row r="7" ht="15" customHeight="1">
      <c r="A7" s="89"/>
      <c r="B7" s="17"/>
      <c r="C7" s="17"/>
      <c r="D7" s="17"/>
      <c r="E7" s="17"/>
      <c r="F7" s="17"/>
      <c r="G7" s="17"/>
      <c r="H7" s="17"/>
      <c r="I7" s="17"/>
      <c r="J7" s="17"/>
      <c r="K7" s="17"/>
      <c r="L7" s="17"/>
      <c r="M7" s="17"/>
      <c r="N7" s="17"/>
      <c r="O7" s="124"/>
    </row>
    <row r="8" ht="15" customHeight="1">
      <c r="A8" s="89"/>
      <c r="B8" s="17"/>
      <c r="C8" s="17"/>
      <c r="D8" s="17"/>
      <c r="E8" s="17"/>
      <c r="F8" s="17"/>
      <c r="G8" s="17"/>
      <c r="H8" s="17"/>
      <c r="I8" s="17"/>
      <c r="J8" s="17"/>
      <c r="K8" s="17"/>
      <c r="L8" s="17"/>
      <c r="M8" s="17"/>
      <c r="N8" s="17"/>
      <c r="O8" s="124"/>
    </row>
    <row r="9" ht="15" customHeight="1">
      <c r="A9" s="89"/>
      <c r="B9" s="17"/>
      <c r="C9" s="17"/>
      <c r="D9" s="17"/>
      <c r="E9" s="17"/>
      <c r="F9" s="17"/>
      <c r="G9" s="17"/>
      <c r="H9" s="17"/>
      <c r="I9" s="17"/>
      <c r="J9" s="17"/>
      <c r="K9" s="17"/>
      <c r="L9" s="17"/>
      <c r="M9" s="17"/>
      <c r="N9" s="17"/>
      <c r="O9" s="124"/>
    </row>
    <row r="10" ht="15" customHeight="1">
      <c r="A10" s="89"/>
      <c r="B10" s="17"/>
      <c r="C10" s="17"/>
      <c r="D10" s="17"/>
      <c r="E10" s="17"/>
      <c r="F10" s="17"/>
      <c r="G10" s="17"/>
      <c r="H10" s="17"/>
      <c r="I10" s="17"/>
      <c r="J10" s="17"/>
      <c r="K10" s="17"/>
      <c r="L10" s="17"/>
      <c r="M10" s="17"/>
      <c r="N10" s="17"/>
      <c r="O10" s="124"/>
    </row>
    <row r="11" ht="15" customHeight="1">
      <c r="A11" s="89"/>
      <c r="B11" s="17"/>
      <c r="C11" s="17"/>
      <c r="D11" s="17"/>
      <c r="E11" s="17"/>
      <c r="F11" s="17"/>
      <c r="G11" s="17"/>
      <c r="H11" s="17"/>
      <c r="I11" s="17"/>
      <c r="J11" s="17"/>
      <c r="K11" s="17"/>
      <c r="L11" s="17"/>
      <c r="M11" s="17"/>
      <c r="N11" s="17"/>
      <c r="O11" s="124"/>
    </row>
    <row r="12" ht="15" customHeight="1">
      <c r="A12" s="89"/>
      <c r="B12" s="17"/>
      <c r="C12" s="17"/>
      <c r="D12" s="17"/>
      <c r="E12" s="17"/>
      <c r="F12" s="17"/>
      <c r="G12" s="17"/>
      <c r="H12" s="17"/>
      <c r="I12" s="17"/>
      <c r="J12" s="17"/>
      <c r="K12" s="17"/>
      <c r="L12" s="17"/>
      <c r="M12" s="17"/>
      <c r="N12" s="17"/>
      <c r="O12" s="124"/>
    </row>
    <row r="13" ht="15" customHeight="1">
      <c r="A13" s="89"/>
      <c r="B13" s="17"/>
      <c r="C13" s="17"/>
      <c r="D13" s="17"/>
      <c r="E13" s="17"/>
      <c r="F13" s="17"/>
      <c r="G13" s="17"/>
      <c r="H13" s="17"/>
      <c r="I13" s="17"/>
      <c r="J13" s="17"/>
      <c r="K13" s="17"/>
      <c r="L13" s="17"/>
      <c r="M13" s="17"/>
      <c r="N13" s="17"/>
      <c r="O13" s="124"/>
    </row>
    <row r="14" ht="15" customHeight="1">
      <c r="A14" s="89"/>
      <c r="B14" s="17"/>
      <c r="C14" s="17"/>
      <c r="D14" s="17"/>
      <c r="E14" s="17"/>
      <c r="F14" s="17"/>
      <c r="G14" s="17"/>
      <c r="H14" s="17"/>
      <c r="I14" s="17"/>
      <c r="J14" s="17"/>
      <c r="K14" s="17"/>
      <c r="L14" s="17"/>
      <c r="M14" s="17"/>
      <c r="N14" s="17"/>
      <c r="O14" s="124"/>
    </row>
    <row r="15" ht="15" customHeight="1">
      <c r="A15" s="89"/>
      <c r="B15" s="17"/>
      <c r="C15" s="17"/>
      <c r="D15" s="17"/>
      <c r="E15" s="17"/>
      <c r="F15" s="17"/>
      <c r="G15" s="17"/>
      <c r="H15" s="17"/>
      <c r="I15" s="17"/>
      <c r="J15" s="17"/>
      <c r="K15" s="17"/>
      <c r="L15" s="17"/>
      <c r="M15" s="17"/>
      <c r="N15" s="17"/>
      <c r="O15" s="124"/>
    </row>
    <row r="16" ht="15" customHeight="1">
      <c r="A16" s="89"/>
      <c r="B16" s="17"/>
      <c r="C16" s="17"/>
      <c r="D16" s="17"/>
      <c r="E16" s="17"/>
      <c r="F16" s="17"/>
      <c r="G16" s="17"/>
      <c r="H16" s="17"/>
      <c r="I16" s="17"/>
      <c r="J16" s="17"/>
      <c r="K16" s="17"/>
      <c r="L16" s="17"/>
      <c r="M16" s="17"/>
      <c r="N16" s="17"/>
      <c r="O16" s="124"/>
    </row>
    <row r="17" ht="15" customHeight="1">
      <c r="A17" s="89"/>
      <c r="B17" s="17"/>
      <c r="C17" s="17"/>
      <c r="D17" s="17"/>
      <c r="E17" s="17"/>
      <c r="F17" s="17"/>
      <c r="G17" s="17"/>
      <c r="H17" s="17"/>
      <c r="I17" s="17"/>
      <c r="J17" s="17"/>
      <c r="K17" s="17"/>
      <c r="L17" s="17"/>
      <c r="M17" s="17"/>
      <c r="N17" s="17"/>
      <c r="O17" s="124"/>
    </row>
    <row r="18" ht="15" customHeight="1">
      <c r="A18" s="89"/>
      <c r="B18" s="17"/>
      <c r="C18" s="17"/>
      <c r="D18" s="17"/>
      <c r="E18" s="17"/>
      <c r="F18" s="17"/>
      <c r="G18" s="17"/>
      <c r="H18" s="17"/>
      <c r="I18" s="17"/>
      <c r="J18" s="17"/>
      <c r="K18" s="17"/>
      <c r="L18" s="17"/>
      <c r="M18" s="17"/>
      <c r="N18" s="17"/>
      <c r="O18" s="124"/>
    </row>
    <row r="19" ht="15" customHeight="1">
      <c r="A19" s="89"/>
      <c r="B19" s="17"/>
      <c r="C19" s="17"/>
      <c r="D19" s="17"/>
      <c r="E19" s="17"/>
      <c r="F19" s="17"/>
      <c r="G19" s="17"/>
      <c r="H19" s="17"/>
      <c r="I19" s="17"/>
      <c r="J19" s="17"/>
      <c r="K19" s="17"/>
      <c r="L19" s="17"/>
      <c r="M19" s="17"/>
      <c r="N19" s="17"/>
      <c r="O19" s="124"/>
    </row>
    <row r="20" ht="15" customHeight="1">
      <c r="A20" s="89"/>
      <c r="B20" s="17"/>
      <c r="C20" s="17"/>
      <c r="D20" s="17"/>
      <c r="E20" s="17"/>
      <c r="F20" s="17"/>
      <c r="G20" s="17"/>
      <c r="H20" s="17"/>
      <c r="I20" s="17"/>
      <c r="J20" s="17"/>
      <c r="K20" s="17"/>
      <c r="L20" s="17"/>
      <c r="M20" s="17"/>
      <c r="N20" s="17"/>
      <c r="O20" s="124"/>
    </row>
    <row r="21" ht="15" customHeight="1">
      <c r="A21" s="89"/>
      <c r="B21" s="17"/>
      <c r="C21" s="17"/>
      <c r="D21" s="17"/>
      <c r="E21" s="17"/>
      <c r="F21" s="17"/>
      <c r="G21" s="17"/>
      <c r="H21" s="17"/>
      <c r="I21" s="17"/>
      <c r="J21" s="17"/>
      <c r="K21" s="17"/>
      <c r="L21" s="17"/>
      <c r="M21" s="17"/>
      <c r="N21" s="17"/>
      <c r="O21" s="124"/>
    </row>
    <row r="22" ht="15" customHeight="1">
      <c r="A22" s="89"/>
      <c r="B22" s="17"/>
      <c r="C22" s="17"/>
      <c r="D22" s="17"/>
      <c r="E22" s="17"/>
      <c r="F22" s="17"/>
      <c r="G22" s="17"/>
      <c r="H22" s="17"/>
      <c r="I22" s="17"/>
      <c r="J22" s="17"/>
      <c r="K22" s="17"/>
      <c r="L22" s="17"/>
      <c r="M22" s="17"/>
      <c r="N22" s="17"/>
      <c r="O22" s="124"/>
    </row>
    <row r="23" ht="15" customHeight="1">
      <c r="A23" s="89"/>
      <c r="B23" s="17"/>
      <c r="C23" s="17"/>
      <c r="D23" s="17"/>
      <c r="E23" s="17"/>
      <c r="F23" s="17"/>
      <c r="G23" s="17"/>
      <c r="H23" s="17"/>
      <c r="I23" s="17"/>
      <c r="J23" s="17"/>
      <c r="K23" s="17"/>
      <c r="L23" s="17"/>
      <c r="M23" s="17"/>
      <c r="N23" s="17"/>
      <c r="O23" s="124"/>
    </row>
    <row r="24" ht="15" customHeight="1">
      <c r="A24" s="89"/>
      <c r="B24" s="17"/>
      <c r="C24" s="17"/>
      <c r="D24" s="17"/>
      <c r="E24" s="17"/>
      <c r="F24" s="17"/>
      <c r="G24" s="17"/>
      <c r="H24" s="17"/>
      <c r="I24" s="17"/>
      <c r="J24" s="17"/>
      <c r="K24" s="17"/>
      <c r="L24" s="17"/>
      <c r="M24" s="17"/>
      <c r="N24" s="17"/>
      <c r="O24" s="124"/>
    </row>
    <row r="25" ht="15" customHeight="1">
      <c r="A25" s="89"/>
      <c r="B25" s="17"/>
      <c r="C25" s="17"/>
      <c r="D25" s="17"/>
      <c r="E25" s="17"/>
      <c r="F25" s="17"/>
      <c r="G25" s="17"/>
      <c r="H25" s="17"/>
      <c r="I25" s="17"/>
      <c r="J25" s="17"/>
      <c r="K25" s="17"/>
      <c r="L25" s="17"/>
      <c r="M25" s="17"/>
      <c r="N25" s="17"/>
      <c r="O25" s="124"/>
    </row>
    <row r="26" ht="15" customHeight="1">
      <c r="A26" s="89"/>
      <c r="B26" s="17"/>
      <c r="C26" s="17"/>
      <c r="D26" s="17"/>
      <c r="E26" s="17"/>
      <c r="F26" s="17"/>
      <c r="G26" s="17"/>
      <c r="H26" s="17"/>
      <c r="I26" s="17"/>
      <c r="J26" s="17"/>
      <c r="K26" s="17"/>
      <c r="L26" s="17"/>
      <c r="M26" s="17"/>
      <c r="N26" s="17"/>
      <c r="O26" s="124"/>
    </row>
    <row r="27" ht="15" customHeight="1">
      <c r="A27" s="89"/>
      <c r="B27" s="17"/>
      <c r="C27" s="17"/>
      <c r="D27" s="17"/>
      <c r="E27" s="17"/>
      <c r="F27" s="17"/>
      <c r="G27" s="17"/>
      <c r="H27" s="17"/>
      <c r="I27" s="17"/>
      <c r="J27" s="17"/>
      <c r="K27" s="17"/>
      <c r="L27" s="17"/>
      <c r="M27" s="17"/>
      <c r="N27" s="17"/>
      <c r="O27" s="124"/>
    </row>
    <row r="28" ht="15" customHeight="1">
      <c r="A28" s="89"/>
      <c r="B28" s="17"/>
      <c r="C28" s="17"/>
      <c r="D28" s="17"/>
      <c r="E28" s="17"/>
      <c r="F28" s="17"/>
      <c r="G28" s="17"/>
      <c r="H28" s="17"/>
      <c r="I28" s="17"/>
      <c r="J28" s="17"/>
      <c r="K28" s="17"/>
      <c r="L28" s="17"/>
      <c r="M28" s="17"/>
      <c r="N28" s="17"/>
      <c r="O28" s="124"/>
    </row>
    <row r="29" ht="15" customHeight="1">
      <c r="A29" s="89"/>
      <c r="B29" s="17"/>
      <c r="C29" s="17"/>
      <c r="D29" s="17"/>
      <c r="E29" s="17"/>
      <c r="F29" s="17"/>
      <c r="G29" s="17"/>
      <c r="H29" s="17"/>
      <c r="I29" s="17"/>
      <c r="J29" s="17"/>
      <c r="K29" s="17"/>
      <c r="L29" s="17"/>
      <c r="M29" s="17"/>
      <c r="N29" s="17"/>
      <c r="O29" s="124"/>
    </row>
    <row r="30" ht="15" customHeight="1">
      <c r="A30" s="89"/>
      <c r="B30" s="17"/>
      <c r="C30" s="17"/>
      <c r="D30" s="17"/>
      <c r="E30" s="17"/>
      <c r="F30" s="17"/>
      <c r="G30" s="17"/>
      <c r="H30" s="17"/>
      <c r="I30" s="17"/>
      <c r="J30" s="17"/>
      <c r="K30" s="17"/>
      <c r="L30" s="17"/>
      <c r="M30" s="17"/>
      <c r="N30" s="17"/>
      <c r="O30" s="124"/>
    </row>
    <row r="31" ht="15" customHeight="1">
      <c r="A31" s="89"/>
      <c r="B31" s="17"/>
      <c r="C31" s="17"/>
      <c r="D31" s="17"/>
      <c r="E31" s="17"/>
      <c r="F31" s="17"/>
      <c r="G31" s="17"/>
      <c r="H31" s="17"/>
      <c r="I31" s="17"/>
      <c r="J31" s="17"/>
      <c r="K31" s="17"/>
      <c r="L31" s="17"/>
      <c r="M31" s="17"/>
      <c r="N31" s="17"/>
      <c r="O31" s="124"/>
    </row>
    <row r="32" ht="15" customHeight="1">
      <c r="A32" s="89"/>
      <c r="B32" s="17"/>
      <c r="C32" s="17"/>
      <c r="D32" s="17"/>
      <c r="E32" s="17"/>
      <c r="F32" s="17"/>
      <c r="G32" s="17"/>
      <c r="H32" s="17"/>
      <c r="I32" s="17"/>
      <c r="J32" s="17"/>
      <c r="K32" s="17"/>
      <c r="L32" s="17"/>
      <c r="M32" s="17"/>
      <c r="N32" s="17"/>
      <c r="O32" s="124"/>
    </row>
    <row r="33" ht="15" customHeight="1">
      <c r="A33" s="89"/>
      <c r="B33" s="17"/>
      <c r="C33" s="17"/>
      <c r="D33" s="17"/>
      <c r="E33" s="17"/>
      <c r="F33" s="17"/>
      <c r="G33" s="17"/>
      <c r="H33" s="17"/>
      <c r="I33" s="17"/>
      <c r="J33" s="17"/>
      <c r="K33" s="17"/>
      <c r="L33" s="17"/>
      <c r="M33" s="17"/>
      <c r="N33" s="17"/>
      <c r="O33" s="124"/>
    </row>
    <row r="34" ht="15" customHeight="1">
      <c r="A34" s="89"/>
      <c r="B34" s="17"/>
      <c r="C34" s="17"/>
      <c r="D34" s="17"/>
      <c r="E34" s="17"/>
      <c r="F34" s="17"/>
      <c r="G34" s="17"/>
      <c r="H34" s="17"/>
      <c r="I34" s="17"/>
      <c r="J34" s="17"/>
      <c r="K34" s="17"/>
      <c r="L34" s="17"/>
      <c r="M34" s="17"/>
      <c r="N34" s="17"/>
      <c r="O34" s="124"/>
    </row>
    <row r="35" ht="15" customHeight="1">
      <c r="A35" s="89"/>
      <c r="B35" s="17"/>
      <c r="C35" s="17"/>
      <c r="D35" s="17"/>
      <c r="E35" s="17"/>
      <c r="F35" s="17"/>
      <c r="G35" s="17"/>
      <c r="H35" s="17"/>
      <c r="I35" s="17"/>
      <c r="J35" s="17"/>
      <c r="K35" s="17"/>
      <c r="L35" s="17"/>
      <c r="M35" s="17"/>
      <c r="N35" s="17"/>
      <c r="O35" s="124"/>
    </row>
    <row r="36" ht="15" customHeight="1">
      <c r="A36" s="89"/>
      <c r="B36" s="17"/>
      <c r="C36" s="17"/>
      <c r="D36" s="17"/>
      <c r="E36" s="17"/>
      <c r="F36" s="17"/>
      <c r="G36" s="17"/>
      <c r="H36" s="17"/>
      <c r="I36" s="17"/>
      <c r="J36" s="17"/>
      <c r="K36" s="17"/>
      <c r="L36" s="17"/>
      <c r="M36" s="17"/>
      <c r="N36" s="17"/>
      <c r="O36" s="124"/>
    </row>
    <row r="37" ht="15" customHeight="1">
      <c r="A37" s="89"/>
      <c r="B37" s="17"/>
      <c r="C37" s="17"/>
      <c r="D37" s="17"/>
      <c r="E37" s="17"/>
      <c r="F37" s="17"/>
      <c r="G37" s="17"/>
      <c r="H37" s="17"/>
      <c r="I37" s="17"/>
      <c r="J37" s="17"/>
      <c r="K37" s="17"/>
      <c r="L37" s="17"/>
      <c r="M37" s="17"/>
      <c r="N37" s="17"/>
      <c r="O37" s="124"/>
    </row>
    <row r="38" ht="15" customHeight="1">
      <c r="A38" s="89"/>
      <c r="B38" s="17"/>
      <c r="C38" s="17"/>
      <c r="D38" s="17"/>
      <c r="E38" s="17"/>
      <c r="F38" s="17"/>
      <c r="G38" s="17"/>
      <c r="H38" s="17"/>
      <c r="I38" s="17"/>
      <c r="J38" s="17"/>
      <c r="K38" s="17"/>
      <c r="L38" s="17"/>
      <c r="M38" s="17"/>
      <c r="N38" s="17"/>
      <c r="O38" s="124"/>
    </row>
    <row r="39" ht="15" customHeight="1">
      <c r="A39" s="89"/>
      <c r="B39" s="17"/>
      <c r="C39" s="17"/>
      <c r="D39" s="17"/>
      <c r="E39" s="17"/>
      <c r="F39" s="17"/>
      <c r="G39" s="17"/>
      <c r="H39" s="17"/>
      <c r="I39" s="17"/>
      <c r="J39" s="17"/>
      <c r="K39" s="17"/>
      <c r="L39" s="17"/>
      <c r="M39" s="17"/>
      <c r="N39" s="17"/>
      <c r="O39" s="124"/>
    </row>
    <row r="40" ht="15" customHeight="1">
      <c r="A40" s="1159"/>
      <c r="B40" s="1160"/>
      <c r="C40" s="1160"/>
      <c r="D40" s="1160"/>
      <c r="E40" s="1160"/>
      <c r="F40" s="1160"/>
      <c r="G40" s="1160"/>
      <c r="H40" s="1160"/>
      <c r="I40" s="1160"/>
      <c r="J40" s="1160"/>
      <c r="K40" s="1160"/>
      <c r="L40" s="1160"/>
      <c r="M40" s="1160"/>
      <c r="N40" s="1160"/>
      <c r="O40" s="649"/>
    </row>
  </sheetData>
  <pageMargins left="0.45" right="0.45" top="0.5" bottom="0.5" header="0.3" footer="0.3"/>
  <pageSetup firstPageNumber="1" fitToHeight="1" fitToWidth="1" scale="76" useFirstPageNumber="0" orientation="portrait" pageOrder="downThenOver"/>
  <headerFooter>
    <oddFooter>&amp;L&amp;"Calibri,Regular"&amp;11&amp;K000000Iowa Beef Center &amp;R&amp;"Calibri,Regular"&amp;11&amp;K000000Estrus Synch Planner</oddFooter>
  </headerFooter>
  <drawing r:id="rId1"/>
</worksheet>
</file>

<file path=xl/worksheets/sheet8.xml><?xml version="1.0" encoding="utf-8"?>
<worksheet xmlns:r="http://schemas.openxmlformats.org/officeDocument/2006/relationships" xmlns="http://schemas.openxmlformats.org/spreadsheetml/2006/main">
  <dimension ref="A1:R34"/>
  <sheetViews>
    <sheetView workbookViewId="0" showGridLines="0" defaultGridColor="1"/>
  </sheetViews>
  <sheetFormatPr defaultColWidth="8.83333" defaultRowHeight="15" customHeight="1" outlineLevelRow="0" outlineLevelCol="0"/>
  <cols>
    <col min="1" max="18" width="9.17188" style="1161" customWidth="1"/>
    <col min="19" max="256" width="8.85156" style="1161" customWidth="1"/>
  </cols>
  <sheetData>
    <row r="1" ht="15" customHeight="1">
      <c r="A1" t="s" s="1162">
        <v>547</v>
      </c>
      <c r="B1" s="112"/>
      <c r="C1" s="112"/>
      <c r="D1" s="112"/>
      <c r="E1" s="112"/>
      <c r="F1" s="112"/>
      <c r="G1" s="112"/>
      <c r="H1" s="112"/>
      <c r="I1" s="112"/>
      <c r="J1" s="112"/>
      <c r="K1" s="112"/>
      <c r="L1" s="112"/>
      <c r="M1" s="112"/>
      <c r="N1" s="112"/>
      <c r="O1" s="112"/>
      <c r="P1" s="112"/>
      <c r="Q1" s="112"/>
      <c r="R1" s="113"/>
    </row>
    <row r="2" ht="21" customHeight="1">
      <c r="A2" s="1163"/>
      <c r="B2" t="s" s="1164">
        <v>548</v>
      </c>
      <c r="C2" s="123"/>
      <c r="D2" s="123"/>
      <c r="E2" s="123"/>
      <c r="F2" s="123"/>
      <c r="G2" s="123"/>
      <c r="H2" s="123"/>
      <c r="I2" s="123"/>
      <c r="J2" s="123"/>
      <c r="K2" t="s" s="1164">
        <v>549</v>
      </c>
      <c r="L2" s="123"/>
      <c r="M2" s="123"/>
      <c r="N2" s="123"/>
      <c r="O2" s="123"/>
      <c r="P2" s="123"/>
      <c r="Q2" s="123"/>
      <c r="R2" s="124"/>
    </row>
    <row r="3" ht="15" customHeight="1">
      <c r="A3" s="1163"/>
      <c r="B3" s="123"/>
      <c r="C3" s="123"/>
      <c r="D3" s="123"/>
      <c r="E3" s="123"/>
      <c r="F3" s="123"/>
      <c r="G3" s="123"/>
      <c r="H3" s="123"/>
      <c r="I3" s="123"/>
      <c r="J3" s="123"/>
      <c r="K3" s="123"/>
      <c r="L3" s="123"/>
      <c r="M3" s="123"/>
      <c r="N3" s="123"/>
      <c r="O3" s="123"/>
      <c r="P3" s="123"/>
      <c r="Q3" s="123"/>
      <c r="R3" s="124"/>
    </row>
    <row r="4" ht="15" customHeight="1">
      <c r="A4" s="1163"/>
      <c r="B4" s="123"/>
      <c r="C4" s="123"/>
      <c r="D4" s="123"/>
      <c r="E4" s="123"/>
      <c r="F4" s="123"/>
      <c r="G4" s="123"/>
      <c r="H4" s="123"/>
      <c r="I4" s="123"/>
      <c r="J4" s="123"/>
      <c r="K4" s="123"/>
      <c r="L4" s="123"/>
      <c r="M4" s="123"/>
      <c r="N4" s="123"/>
      <c r="O4" s="123"/>
      <c r="P4" s="123"/>
      <c r="Q4" s="123"/>
      <c r="R4" s="124"/>
    </row>
    <row r="5" ht="15" customHeight="1">
      <c r="A5" s="1163"/>
      <c r="B5" s="123"/>
      <c r="C5" s="123"/>
      <c r="D5" s="123"/>
      <c r="E5" s="123"/>
      <c r="F5" s="123"/>
      <c r="G5" s="123"/>
      <c r="H5" s="123"/>
      <c r="I5" s="123"/>
      <c r="J5" s="123"/>
      <c r="K5" s="123"/>
      <c r="L5" s="123"/>
      <c r="M5" s="123"/>
      <c r="N5" s="123"/>
      <c r="O5" s="123"/>
      <c r="P5" s="123"/>
      <c r="Q5" s="123"/>
      <c r="R5" s="124"/>
    </row>
    <row r="6" ht="15" customHeight="1">
      <c r="A6" s="1163"/>
      <c r="B6" s="123"/>
      <c r="C6" s="123"/>
      <c r="D6" s="123"/>
      <c r="E6" s="123"/>
      <c r="F6" s="123"/>
      <c r="G6" s="123"/>
      <c r="H6" s="123"/>
      <c r="I6" s="123"/>
      <c r="J6" s="123"/>
      <c r="K6" s="123"/>
      <c r="L6" s="123"/>
      <c r="M6" s="123"/>
      <c r="N6" s="123"/>
      <c r="O6" s="123"/>
      <c r="P6" s="123"/>
      <c r="Q6" s="123"/>
      <c r="R6" s="124"/>
    </row>
    <row r="7" ht="15" customHeight="1">
      <c r="A7" s="1163"/>
      <c r="B7" s="123"/>
      <c r="C7" s="123"/>
      <c r="D7" s="123"/>
      <c r="E7" s="123"/>
      <c r="F7" s="123"/>
      <c r="G7" s="123"/>
      <c r="H7" s="123"/>
      <c r="I7" s="123"/>
      <c r="J7" s="123"/>
      <c r="K7" s="123"/>
      <c r="L7" s="123"/>
      <c r="M7" s="123"/>
      <c r="N7" s="123"/>
      <c r="O7" s="123"/>
      <c r="P7" s="123"/>
      <c r="Q7" s="123"/>
      <c r="R7" s="124"/>
    </row>
    <row r="8" ht="15" customHeight="1">
      <c r="A8" s="1163"/>
      <c r="B8" s="123"/>
      <c r="C8" s="123"/>
      <c r="D8" s="123"/>
      <c r="E8" s="123"/>
      <c r="F8" s="123"/>
      <c r="G8" s="123"/>
      <c r="H8" s="123"/>
      <c r="I8" s="123"/>
      <c r="J8" s="123"/>
      <c r="K8" s="123"/>
      <c r="L8" s="123"/>
      <c r="M8" s="123"/>
      <c r="N8" s="123"/>
      <c r="O8" s="123"/>
      <c r="P8" s="123"/>
      <c r="Q8" s="123"/>
      <c r="R8" s="124"/>
    </row>
    <row r="9" ht="15" customHeight="1">
      <c r="A9" s="1163"/>
      <c r="B9" s="123"/>
      <c r="C9" s="123"/>
      <c r="D9" s="123"/>
      <c r="E9" s="123"/>
      <c r="F9" s="123"/>
      <c r="G9" s="123"/>
      <c r="H9" s="123"/>
      <c r="I9" s="123"/>
      <c r="J9" s="123"/>
      <c r="K9" s="123"/>
      <c r="L9" s="123"/>
      <c r="M9" s="123"/>
      <c r="N9" s="123"/>
      <c r="O9" s="123"/>
      <c r="P9" s="123"/>
      <c r="Q9" s="123"/>
      <c r="R9" s="124"/>
    </row>
    <row r="10" ht="15" customHeight="1">
      <c r="A10" s="1163"/>
      <c r="B10" s="123"/>
      <c r="C10" s="123"/>
      <c r="D10" s="123"/>
      <c r="E10" s="123"/>
      <c r="F10" s="123"/>
      <c r="G10" s="123"/>
      <c r="H10" s="123"/>
      <c r="I10" s="123"/>
      <c r="J10" s="123"/>
      <c r="K10" s="123"/>
      <c r="L10" s="123"/>
      <c r="M10" s="123"/>
      <c r="N10" s="123"/>
      <c r="O10" s="123"/>
      <c r="P10" s="123"/>
      <c r="Q10" s="123"/>
      <c r="R10" s="124"/>
    </row>
    <row r="11" ht="15" customHeight="1">
      <c r="A11" s="1163"/>
      <c r="B11" s="123"/>
      <c r="C11" s="123"/>
      <c r="D11" s="123"/>
      <c r="E11" s="123"/>
      <c r="F11" s="123"/>
      <c r="G11" s="123"/>
      <c r="H11" s="123"/>
      <c r="I11" s="123"/>
      <c r="J11" s="123"/>
      <c r="K11" s="123"/>
      <c r="L11" s="123"/>
      <c r="M11" s="123"/>
      <c r="N11" s="123"/>
      <c r="O11" s="123"/>
      <c r="P11" s="123"/>
      <c r="Q11" s="123"/>
      <c r="R11" s="124"/>
    </row>
    <row r="12" ht="15" customHeight="1">
      <c r="A12" s="1163"/>
      <c r="B12" s="123"/>
      <c r="C12" s="123"/>
      <c r="D12" s="123"/>
      <c r="E12" s="123"/>
      <c r="F12" s="123"/>
      <c r="G12" s="123"/>
      <c r="H12" s="123"/>
      <c r="I12" s="123"/>
      <c r="J12" s="123"/>
      <c r="K12" s="123"/>
      <c r="L12" s="123"/>
      <c r="M12" s="123"/>
      <c r="N12" s="123"/>
      <c r="O12" s="123"/>
      <c r="P12" s="123"/>
      <c r="Q12" s="123"/>
      <c r="R12" s="124"/>
    </row>
    <row r="13" ht="15" customHeight="1">
      <c r="A13" s="1163"/>
      <c r="B13" s="123"/>
      <c r="C13" s="123"/>
      <c r="D13" s="123"/>
      <c r="E13" s="123"/>
      <c r="F13" s="123"/>
      <c r="G13" s="123"/>
      <c r="H13" s="123"/>
      <c r="I13" s="123"/>
      <c r="J13" s="123"/>
      <c r="K13" s="123"/>
      <c r="L13" s="123"/>
      <c r="M13" s="123"/>
      <c r="N13" s="123"/>
      <c r="O13" s="123"/>
      <c r="P13" s="123"/>
      <c r="Q13" s="123"/>
      <c r="R13" s="124"/>
    </row>
    <row r="14" ht="15" customHeight="1">
      <c r="A14" s="1163"/>
      <c r="B14" s="123"/>
      <c r="C14" s="123"/>
      <c r="D14" s="123"/>
      <c r="E14" s="123"/>
      <c r="F14" s="123"/>
      <c r="G14" s="123"/>
      <c r="H14" s="123"/>
      <c r="I14" s="123"/>
      <c r="J14" s="123"/>
      <c r="K14" s="123"/>
      <c r="L14" s="123"/>
      <c r="M14" s="123"/>
      <c r="N14" s="123"/>
      <c r="O14" s="123"/>
      <c r="P14" s="123"/>
      <c r="Q14" s="123"/>
      <c r="R14" s="124"/>
    </row>
    <row r="15" ht="15" customHeight="1">
      <c r="A15" s="1163"/>
      <c r="B15" s="123"/>
      <c r="C15" s="123"/>
      <c r="D15" s="123"/>
      <c r="E15" s="123"/>
      <c r="F15" s="123"/>
      <c r="G15" s="123"/>
      <c r="H15" s="123"/>
      <c r="I15" s="123"/>
      <c r="J15" s="123"/>
      <c r="K15" s="123"/>
      <c r="L15" s="123"/>
      <c r="M15" s="123"/>
      <c r="N15" s="123"/>
      <c r="O15" s="123"/>
      <c r="P15" s="123"/>
      <c r="Q15" s="123"/>
      <c r="R15" s="124"/>
    </row>
    <row r="16" ht="15" customHeight="1">
      <c r="A16" s="1163"/>
      <c r="B16" s="123"/>
      <c r="C16" s="123"/>
      <c r="D16" s="123"/>
      <c r="E16" s="123"/>
      <c r="F16" s="123"/>
      <c r="G16" s="123"/>
      <c r="H16" s="123"/>
      <c r="I16" s="123"/>
      <c r="J16" s="123"/>
      <c r="K16" s="123"/>
      <c r="L16" s="123"/>
      <c r="M16" s="123"/>
      <c r="N16" s="123"/>
      <c r="O16" s="123"/>
      <c r="P16" s="123"/>
      <c r="Q16" s="123"/>
      <c r="R16" s="124"/>
    </row>
    <row r="17" ht="15" customHeight="1">
      <c r="A17" s="1163"/>
      <c r="B17" s="123"/>
      <c r="C17" s="123"/>
      <c r="D17" s="123"/>
      <c r="E17" s="123"/>
      <c r="F17" s="123"/>
      <c r="G17" s="123"/>
      <c r="H17" s="123"/>
      <c r="I17" s="123"/>
      <c r="J17" s="123"/>
      <c r="K17" s="123"/>
      <c r="L17" s="123"/>
      <c r="M17" s="123"/>
      <c r="N17" s="123"/>
      <c r="O17" s="123"/>
      <c r="P17" s="123"/>
      <c r="Q17" s="123"/>
      <c r="R17" s="124"/>
    </row>
    <row r="18" ht="15" customHeight="1">
      <c r="A18" s="1163"/>
      <c r="B18" s="123"/>
      <c r="C18" s="123"/>
      <c r="D18" s="123"/>
      <c r="E18" s="123"/>
      <c r="F18" s="123"/>
      <c r="G18" s="123"/>
      <c r="H18" s="123"/>
      <c r="I18" s="123"/>
      <c r="J18" s="123"/>
      <c r="K18" s="123"/>
      <c r="L18" s="123"/>
      <c r="M18" s="123"/>
      <c r="N18" s="123"/>
      <c r="O18" s="123"/>
      <c r="P18" s="123"/>
      <c r="Q18" s="123"/>
      <c r="R18" s="124"/>
    </row>
    <row r="19" ht="15" customHeight="1">
      <c r="A19" s="1163"/>
      <c r="B19" s="123"/>
      <c r="C19" s="123"/>
      <c r="D19" s="123"/>
      <c r="E19" s="123"/>
      <c r="F19" s="123"/>
      <c r="G19" s="123"/>
      <c r="H19" s="123"/>
      <c r="I19" s="123"/>
      <c r="J19" s="123"/>
      <c r="K19" s="123"/>
      <c r="L19" s="123"/>
      <c r="M19" s="123"/>
      <c r="N19" s="123"/>
      <c r="O19" s="123"/>
      <c r="P19" s="123"/>
      <c r="Q19" s="123"/>
      <c r="R19" s="124"/>
    </row>
    <row r="20" ht="15" customHeight="1">
      <c r="A20" s="1163"/>
      <c r="B20" s="123"/>
      <c r="C20" s="123"/>
      <c r="D20" s="123"/>
      <c r="E20" s="123"/>
      <c r="F20" s="123"/>
      <c r="G20" s="123"/>
      <c r="H20" s="123"/>
      <c r="I20" s="123"/>
      <c r="J20" s="123"/>
      <c r="K20" s="123"/>
      <c r="L20" s="123"/>
      <c r="M20" s="123"/>
      <c r="N20" s="123"/>
      <c r="O20" s="123"/>
      <c r="P20" s="123"/>
      <c r="Q20" s="123"/>
      <c r="R20" s="124"/>
    </row>
    <row r="21" ht="15" customHeight="1">
      <c r="A21" s="1163"/>
      <c r="B21" s="123"/>
      <c r="C21" s="123"/>
      <c r="D21" s="123"/>
      <c r="E21" s="123"/>
      <c r="F21" s="123"/>
      <c r="G21" s="123"/>
      <c r="H21" s="123"/>
      <c r="I21" s="123"/>
      <c r="J21" s="123"/>
      <c r="K21" s="123"/>
      <c r="L21" s="123"/>
      <c r="M21" s="123"/>
      <c r="N21" s="123"/>
      <c r="O21" s="123"/>
      <c r="P21" s="123"/>
      <c r="Q21" s="123"/>
      <c r="R21" s="124"/>
    </row>
    <row r="22" ht="15" customHeight="1">
      <c r="A22" s="1163"/>
      <c r="B22" s="123"/>
      <c r="C22" s="123"/>
      <c r="D22" s="123"/>
      <c r="E22" s="123"/>
      <c r="F22" s="123"/>
      <c r="G22" s="123"/>
      <c r="H22" s="123"/>
      <c r="I22" s="123"/>
      <c r="J22" s="123"/>
      <c r="K22" s="123"/>
      <c r="L22" s="123"/>
      <c r="M22" s="123"/>
      <c r="N22" s="123"/>
      <c r="O22" s="123"/>
      <c r="P22" s="123"/>
      <c r="Q22" s="123"/>
      <c r="R22" s="124"/>
    </row>
    <row r="23" ht="15" customHeight="1">
      <c r="A23" s="1163"/>
      <c r="B23" s="123"/>
      <c r="C23" s="123"/>
      <c r="D23" s="123"/>
      <c r="E23" s="123"/>
      <c r="F23" s="123"/>
      <c r="G23" s="123"/>
      <c r="H23" s="123"/>
      <c r="I23" s="123"/>
      <c r="J23" s="123"/>
      <c r="K23" s="123"/>
      <c r="L23" s="123"/>
      <c r="M23" s="123"/>
      <c r="N23" s="123"/>
      <c r="O23" s="123"/>
      <c r="P23" s="123"/>
      <c r="Q23" s="123"/>
      <c r="R23" s="124"/>
    </row>
    <row r="24" ht="15" customHeight="1">
      <c r="A24" s="1163"/>
      <c r="B24" s="123"/>
      <c r="C24" s="123"/>
      <c r="D24" s="123"/>
      <c r="E24" s="123"/>
      <c r="F24" s="123"/>
      <c r="G24" s="123"/>
      <c r="H24" s="123"/>
      <c r="I24" s="123"/>
      <c r="J24" s="123"/>
      <c r="K24" s="123"/>
      <c r="L24" s="123"/>
      <c r="M24" s="123"/>
      <c r="N24" s="123"/>
      <c r="O24" s="123"/>
      <c r="P24" s="123"/>
      <c r="Q24" s="123"/>
      <c r="R24" s="124"/>
    </row>
    <row r="25" ht="15" customHeight="1">
      <c r="A25" s="1163"/>
      <c r="B25" s="123"/>
      <c r="C25" s="123"/>
      <c r="D25" s="123"/>
      <c r="E25" s="123"/>
      <c r="F25" s="123"/>
      <c r="G25" s="123"/>
      <c r="H25" s="123"/>
      <c r="I25" s="123"/>
      <c r="J25" s="123"/>
      <c r="K25" s="123"/>
      <c r="L25" s="123"/>
      <c r="M25" s="123"/>
      <c r="N25" s="123"/>
      <c r="O25" s="123"/>
      <c r="P25" s="123"/>
      <c r="Q25" s="123"/>
      <c r="R25" s="124"/>
    </row>
    <row r="26" ht="15" customHeight="1">
      <c r="A26" s="1163"/>
      <c r="B26" s="123"/>
      <c r="C26" s="123"/>
      <c r="D26" s="123"/>
      <c r="E26" s="123"/>
      <c r="F26" s="123"/>
      <c r="G26" s="123"/>
      <c r="H26" s="123"/>
      <c r="I26" s="123"/>
      <c r="J26" s="123"/>
      <c r="K26" s="123"/>
      <c r="L26" s="123"/>
      <c r="M26" s="123"/>
      <c r="N26" s="123"/>
      <c r="O26" s="123"/>
      <c r="P26" s="123"/>
      <c r="Q26" s="123"/>
      <c r="R26" s="124"/>
    </row>
    <row r="27" ht="15" customHeight="1">
      <c r="A27" s="1163"/>
      <c r="B27" s="123"/>
      <c r="C27" s="123"/>
      <c r="D27" s="123"/>
      <c r="E27" s="123"/>
      <c r="F27" s="123"/>
      <c r="G27" s="123"/>
      <c r="H27" s="123"/>
      <c r="I27" s="123"/>
      <c r="J27" s="123"/>
      <c r="K27" s="123"/>
      <c r="L27" s="123"/>
      <c r="M27" s="123"/>
      <c r="N27" s="123"/>
      <c r="O27" s="123"/>
      <c r="P27" s="123"/>
      <c r="Q27" s="123"/>
      <c r="R27" s="124"/>
    </row>
    <row r="28" ht="15" customHeight="1">
      <c r="A28" s="1163"/>
      <c r="B28" s="123"/>
      <c r="C28" s="123"/>
      <c r="D28" s="123"/>
      <c r="E28" s="123"/>
      <c r="F28" s="123"/>
      <c r="G28" s="123"/>
      <c r="H28" s="123"/>
      <c r="I28" s="123"/>
      <c r="J28" s="123"/>
      <c r="K28" s="123"/>
      <c r="L28" s="123"/>
      <c r="M28" s="123"/>
      <c r="N28" s="123"/>
      <c r="O28" s="123"/>
      <c r="P28" s="123"/>
      <c r="Q28" s="123"/>
      <c r="R28" s="124"/>
    </row>
    <row r="29" ht="15" customHeight="1">
      <c r="A29" s="1163"/>
      <c r="B29" s="123"/>
      <c r="C29" s="123"/>
      <c r="D29" s="123"/>
      <c r="E29" s="123"/>
      <c r="F29" s="123"/>
      <c r="G29" s="123"/>
      <c r="H29" s="123"/>
      <c r="I29" s="123"/>
      <c r="J29" s="123"/>
      <c r="K29" s="123"/>
      <c r="L29" s="123"/>
      <c r="M29" s="123"/>
      <c r="N29" s="123"/>
      <c r="O29" s="123"/>
      <c r="P29" s="123"/>
      <c r="Q29" s="123"/>
      <c r="R29" s="124"/>
    </row>
    <row r="30" ht="15" customHeight="1">
      <c r="A30" s="1163"/>
      <c r="B30" s="123"/>
      <c r="C30" s="123"/>
      <c r="D30" s="123"/>
      <c r="E30" s="123"/>
      <c r="F30" s="123"/>
      <c r="G30" s="123"/>
      <c r="H30" s="123"/>
      <c r="I30" s="123"/>
      <c r="J30" s="123"/>
      <c r="K30" s="123"/>
      <c r="L30" s="123"/>
      <c r="M30" s="123"/>
      <c r="N30" s="123"/>
      <c r="O30" s="123"/>
      <c r="P30" s="123"/>
      <c r="Q30" s="123"/>
      <c r="R30" s="124"/>
    </row>
    <row r="31" ht="15" customHeight="1">
      <c r="A31" s="1163"/>
      <c r="B31" s="123"/>
      <c r="C31" s="123"/>
      <c r="D31" s="123"/>
      <c r="E31" s="123"/>
      <c r="F31" s="123"/>
      <c r="G31" s="123"/>
      <c r="H31" s="123"/>
      <c r="I31" s="123"/>
      <c r="J31" s="123"/>
      <c r="K31" s="123"/>
      <c r="L31" s="123"/>
      <c r="M31" s="123"/>
      <c r="N31" s="123"/>
      <c r="O31" s="123"/>
      <c r="P31" s="123"/>
      <c r="Q31" s="123"/>
      <c r="R31" s="124"/>
    </row>
    <row r="32" ht="15" customHeight="1">
      <c r="A32" s="1163"/>
      <c r="B32" s="123"/>
      <c r="C32" s="123"/>
      <c r="D32" s="123"/>
      <c r="E32" s="123"/>
      <c r="F32" s="123"/>
      <c r="G32" s="123"/>
      <c r="H32" s="123"/>
      <c r="I32" s="123"/>
      <c r="J32" s="123"/>
      <c r="K32" s="123"/>
      <c r="L32" s="123"/>
      <c r="M32" s="123"/>
      <c r="N32" s="123"/>
      <c r="O32" s="123"/>
      <c r="P32" s="123"/>
      <c r="Q32" s="123"/>
      <c r="R32" s="124"/>
    </row>
    <row r="33" ht="15" customHeight="1">
      <c r="A33" s="1163"/>
      <c r="B33" s="123"/>
      <c r="C33" s="123"/>
      <c r="D33" s="123"/>
      <c r="E33" s="123"/>
      <c r="F33" s="123"/>
      <c r="G33" s="123"/>
      <c r="H33" s="123"/>
      <c r="I33" s="123"/>
      <c r="J33" s="123"/>
      <c r="K33" s="123"/>
      <c r="L33" s="123"/>
      <c r="M33" s="123"/>
      <c r="N33" s="123"/>
      <c r="O33" s="123"/>
      <c r="P33" s="123"/>
      <c r="Q33" s="123"/>
      <c r="R33" s="124"/>
    </row>
    <row r="34" ht="15" customHeight="1">
      <c r="A34" s="1165"/>
      <c r="B34" s="648"/>
      <c r="C34" s="648"/>
      <c r="D34" s="648"/>
      <c r="E34" s="648"/>
      <c r="F34" s="648"/>
      <c r="G34" s="648"/>
      <c r="H34" s="648"/>
      <c r="I34" s="648"/>
      <c r="J34" s="648"/>
      <c r="K34" s="648"/>
      <c r="L34" s="648"/>
      <c r="M34" s="648"/>
      <c r="N34" s="648"/>
      <c r="O34" s="648"/>
      <c r="P34" s="648"/>
      <c r="Q34" s="648"/>
      <c r="R34" s="649"/>
    </row>
  </sheetData>
  <pageMargins left="0.7" right="0.7" top="0.75" bottom="0.75" header="0.3" footer="0.3"/>
  <pageSetup firstPageNumber="1" fitToHeight="1" fitToWidth="1" scale="100" useFirstPageNumber="0" orientation="landscape" pageOrder="downThenOver"/>
  <headerFooter>
    <oddFooter>&amp;C&amp;"Helvetica Neue,Regular"&amp;12&amp;K000000&amp;P</oddFooter>
  </headerFooter>
  <drawing r:id="rId1"/>
</worksheet>
</file>

<file path=xl/worksheets/sheet9.xml><?xml version="1.0" encoding="utf-8"?>
<worksheet xmlns:r="http://schemas.openxmlformats.org/officeDocument/2006/relationships" xmlns="http://schemas.openxmlformats.org/spreadsheetml/2006/main">
  <dimension ref="A1:I13"/>
  <sheetViews>
    <sheetView workbookViewId="0" showGridLines="0" defaultGridColor="1"/>
  </sheetViews>
  <sheetFormatPr defaultColWidth="8.83333" defaultRowHeight="15" customHeight="1" outlineLevelRow="0" outlineLevelCol="0"/>
  <cols>
    <col min="1" max="1" width="14.6719" style="1166" customWidth="1"/>
    <col min="2" max="8" width="9.17188" style="1166" customWidth="1"/>
    <col min="9" max="9" width="14.8516" style="1166" customWidth="1"/>
    <col min="10" max="256" width="8.85156" style="1166" customWidth="1"/>
  </cols>
  <sheetData>
    <row r="1" ht="15" customHeight="1">
      <c r="A1" s="663"/>
      <c r="B1" s="663"/>
      <c r="C1" s="663"/>
      <c r="D1" s="663"/>
      <c r="E1" s="663"/>
      <c r="F1" s="663"/>
      <c r="G1" s="663"/>
      <c r="H1" s="663"/>
      <c r="I1" s="663"/>
    </row>
    <row r="2" ht="15" customHeight="1">
      <c r="A2" s="663"/>
      <c r="B2" s="663"/>
      <c r="C2" s="663"/>
      <c r="D2" s="663"/>
      <c r="E2" s="663"/>
      <c r="F2" s="663"/>
      <c r="G2" s="663"/>
      <c r="H2" s="663"/>
      <c r="I2" s="663"/>
    </row>
    <row r="3" ht="15.5" customHeight="1">
      <c r="A3" s="1167"/>
      <c r="B3" s="1168"/>
      <c r="C3" s="1168"/>
      <c r="D3" s="1169"/>
      <c r="E3" s="663"/>
      <c r="F3" s="663"/>
      <c r="G3" s="663"/>
      <c r="H3" s="663"/>
      <c r="I3" s="663"/>
    </row>
    <row r="4" ht="15.5" customHeight="1">
      <c r="A4" s="1170"/>
      <c r="B4" s="1170"/>
      <c r="C4" s="1171"/>
      <c r="D4" s="1170"/>
      <c r="E4" s="663"/>
      <c r="F4" s="663"/>
      <c r="G4" s="663"/>
      <c r="H4" s="663"/>
      <c r="I4" s="1172"/>
    </row>
    <row r="5" ht="15" customHeight="1">
      <c r="A5" s="663"/>
      <c r="B5" s="663"/>
      <c r="C5" s="1173"/>
      <c r="D5" s="663"/>
      <c r="E5" s="663"/>
      <c r="F5" s="663"/>
      <c r="G5" s="663"/>
      <c r="H5" s="663"/>
      <c r="I5" s="1172"/>
    </row>
    <row r="6" ht="15" customHeight="1">
      <c r="A6" s="663"/>
      <c r="B6" s="663"/>
      <c r="C6" s="1173"/>
      <c r="D6" s="663"/>
      <c r="E6" s="663"/>
      <c r="F6" s="663"/>
      <c r="G6" s="663"/>
      <c r="H6" s="663"/>
      <c r="I6" s="1172"/>
    </row>
    <row r="7" ht="15" customHeight="1">
      <c r="A7" s="663"/>
      <c r="B7" s="663"/>
      <c r="C7" s="1173"/>
      <c r="D7" s="663"/>
      <c r="E7" s="663"/>
      <c r="F7" s="663"/>
      <c r="G7" s="663"/>
      <c r="H7" s="663"/>
      <c r="I7" s="1172"/>
    </row>
    <row r="8" ht="15" customHeight="1">
      <c r="A8" s="663"/>
      <c r="B8" s="663"/>
      <c r="C8" s="1173"/>
      <c r="D8" s="663"/>
      <c r="E8" s="663"/>
      <c r="F8" s="663"/>
      <c r="G8" s="663"/>
      <c r="H8" s="663"/>
      <c r="I8" s="1172"/>
    </row>
    <row r="9" ht="15" customHeight="1">
      <c r="A9" s="663"/>
      <c r="B9" s="663"/>
      <c r="C9" s="1173"/>
      <c r="D9" s="663"/>
      <c r="E9" s="663"/>
      <c r="F9" s="663"/>
      <c r="G9" s="663"/>
      <c r="H9" s="663"/>
      <c r="I9" s="1172"/>
    </row>
    <row r="10" ht="15" customHeight="1">
      <c r="A10" s="663"/>
      <c r="B10" s="663"/>
      <c r="C10" s="1173"/>
      <c r="D10" s="663"/>
      <c r="E10" s="663"/>
      <c r="F10" s="663"/>
      <c r="G10" s="663"/>
      <c r="H10" s="663"/>
      <c r="I10" s="1172"/>
    </row>
    <row r="11" ht="15" customHeight="1">
      <c r="A11" s="663"/>
      <c r="B11" s="663"/>
      <c r="C11" s="1173"/>
      <c r="D11" s="663"/>
      <c r="E11" s="663"/>
      <c r="F11" s="663"/>
      <c r="G11" s="663"/>
      <c r="H11" s="663"/>
      <c r="I11" s="1172"/>
    </row>
    <row r="12" ht="15" customHeight="1">
      <c r="A12" s="663"/>
      <c r="B12" s="663"/>
      <c r="C12" s="1173"/>
      <c r="D12" s="663"/>
      <c r="E12" s="663"/>
      <c r="F12" s="663"/>
      <c r="G12" s="663"/>
      <c r="H12" s="663"/>
      <c r="I12" s="1172"/>
    </row>
    <row r="13" ht="15" customHeight="1">
      <c r="A13" s="663"/>
      <c r="B13" s="663"/>
      <c r="C13" s="1173"/>
      <c r="D13" s="663"/>
      <c r="E13" s="663"/>
      <c r="F13" s="663"/>
      <c r="G13" s="663"/>
      <c r="H13" s="663"/>
      <c r="I13" s="1172"/>
    </row>
  </sheetData>
  <pageMargins left="0.7" right="0.7" top="0.75" bottom="0.75" header="0.3" footer="0.3"/>
  <pageSetup firstPageNumber="1" fitToHeight="1" fitToWidth="1" scale="100" useFirstPageNumber="0" orientation="landscape"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